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Звіт\1 квартал\Рішення\СМР\"/>
    </mc:Choice>
  </mc:AlternateContent>
  <bookViews>
    <workbookView xWindow="0" yWindow="0" windowWidth="21570" windowHeight="8100" tabRatio="261" activeTab="1"/>
  </bookViews>
  <sheets>
    <sheet name="дод 2" sheetId="1" r:id="rId1"/>
    <sheet name="дод 5" sheetId="3" r:id="rId2"/>
  </sheets>
  <definedNames>
    <definedName name="_xlnm.Print_Titles" localSheetId="0">'дод 2'!$14:$17</definedName>
    <definedName name="_xlnm.Print_Titles" localSheetId="1">'дод 5'!$13:$16</definedName>
    <definedName name="_xlnm.Print_Area" localSheetId="0">'дод 2'!$A$1:$AA$254</definedName>
    <definedName name="_xlnm.Print_Area" localSheetId="1">'дод 5'!$A$1:$AA$219</definedName>
  </definedNames>
  <calcPr calcId="162913"/>
</workbook>
</file>

<file path=xl/calcChain.xml><?xml version="1.0" encoding="utf-8"?>
<calcChain xmlns="http://schemas.openxmlformats.org/spreadsheetml/2006/main">
  <c r="D208" i="1" l="1"/>
  <c r="D207" i="1"/>
  <c r="D177" i="1"/>
  <c r="AA157" i="1" l="1"/>
  <c r="T151" i="1"/>
  <c r="T97" i="1" l="1"/>
  <c r="T96" i="1"/>
  <c r="X52" i="3" l="1"/>
  <c r="F251" i="3" l="1"/>
  <c r="G251" i="3"/>
  <c r="H251" i="3"/>
  <c r="I251" i="3"/>
  <c r="J251" i="3"/>
  <c r="K251" i="3"/>
  <c r="L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AA251" i="3"/>
  <c r="E251" i="3"/>
  <c r="G18" i="3" l="1"/>
  <c r="H18" i="3"/>
  <c r="I18" i="3"/>
  <c r="J18" i="3"/>
  <c r="K18" i="3"/>
  <c r="O18" i="3"/>
  <c r="P18" i="3"/>
  <c r="P17" i="3" s="1"/>
  <c r="Q18" i="3"/>
  <c r="T18" i="3"/>
  <c r="U18" i="3"/>
  <c r="V18" i="3"/>
  <c r="W18" i="3"/>
  <c r="X18" i="3"/>
  <c r="F19" i="3"/>
  <c r="G19" i="3"/>
  <c r="H19" i="3"/>
  <c r="I19" i="3"/>
  <c r="J19" i="3"/>
  <c r="K19" i="3"/>
  <c r="N19" i="3"/>
  <c r="O19" i="3"/>
  <c r="P19" i="3"/>
  <c r="Q19" i="3"/>
  <c r="R19" i="3"/>
  <c r="T19" i="3"/>
  <c r="U19" i="3"/>
  <c r="V19" i="3"/>
  <c r="W19" i="3"/>
  <c r="X19" i="3"/>
  <c r="E32" i="3"/>
  <c r="F32" i="3"/>
  <c r="G32" i="3"/>
  <c r="H32" i="3"/>
  <c r="I32" i="3"/>
  <c r="J32" i="3"/>
  <c r="K32" i="3"/>
  <c r="N32" i="3"/>
  <c r="O32" i="3"/>
  <c r="P32" i="3"/>
  <c r="Q32" i="3"/>
  <c r="R32" i="3"/>
  <c r="T32" i="3"/>
  <c r="U32" i="3"/>
  <c r="V32" i="3"/>
  <c r="W32" i="3"/>
  <c r="X32" i="3"/>
  <c r="F33" i="3"/>
  <c r="G33" i="3"/>
  <c r="H33" i="3"/>
  <c r="I33" i="3"/>
  <c r="J33" i="3"/>
  <c r="K33" i="3"/>
  <c r="O33" i="3"/>
  <c r="P33" i="3"/>
  <c r="Q33" i="3"/>
  <c r="T33" i="3"/>
  <c r="U33" i="3"/>
  <c r="V33" i="3"/>
  <c r="W33" i="3"/>
  <c r="X33" i="3"/>
  <c r="E34" i="3"/>
  <c r="F34" i="3"/>
  <c r="G34" i="3"/>
  <c r="H34" i="3"/>
  <c r="I34" i="3"/>
  <c r="J34" i="3"/>
  <c r="K34" i="3"/>
  <c r="N34" i="3"/>
  <c r="O34" i="3"/>
  <c r="P34" i="3"/>
  <c r="Q34" i="3"/>
  <c r="R34" i="3"/>
  <c r="T34" i="3"/>
  <c r="U34" i="3"/>
  <c r="V34" i="3"/>
  <c r="W34" i="3"/>
  <c r="X34" i="3"/>
  <c r="E35" i="3"/>
  <c r="F35" i="3"/>
  <c r="G35" i="3"/>
  <c r="H35" i="3"/>
  <c r="I35" i="3"/>
  <c r="J35" i="3"/>
  <c r="K35" i="3"/>
  <c r="N35" i="3"/>
  <c r="O35" i="3"/>
  <c r="P35" i="3"/>
  <c r="Q35" i="3"/>
  <c r="R35" i="3"/>
  <c r="T35" i="3"/>
  <c r="U35" i="3"/>
  <c r="V35" i="3"/>
  <c r="W35" i="3"/>
  <c r="X35" i="3"/>
  <c r="H36" i="3"/>
  <c r="I36" i="3"/>
  <c r="J36" i="3"/>
  <c r="K36" i="3"/>
  <c r="N36" i="3"/>
  <c r="O36" i="3"/>
  <c r="P36" i="3"/>
  <c r="Q36" i="3"/>
  <c r="R36" i="3"/>
  <c r="T36" i="3"/>
  <c r="U36" i="3"/>
  <c r="V36" i="3"/>
  <c r="W36" i="3"/>
  <c r="X36" i="3"/>
  <c r="E37" i="3"/>
  <c r="F37" i="3"/>
  <c r="G37" i="3"/>
  <c r="H37" i="3"/>
  <c r="I37" i="3"/>
  <c r="J37" i="3"/>
  <c r="K37" i="3"/>
  <c r="N37" i="3"/>
  <c r="O37" i="3"/>
  <c r="P37" i="3"/>
  <c r="Q37" i="3"/>
  <c r="R37" i="3"/>
  <c r="T37" i="3"/>
  <c r="U37" i="3"/>
  <c r="V37" i="3"/>
  <c r="W37" i="3"/>
  <c r="X37" i="3"/>
  <c r="E38" i="3"/>
  <c r="F38" i="3"/>
  <c r="G38" i="3"/>
  <c r="H38" i="3"/>
  <c r="I38" i="3"/>
  <c r="J38" i="3"/>
  <c r="K38" i="3"/>
  <c r="N38" i="3"/>
  <c r="O38" i="3"/>
  <c r="P38" i="3"/>
  <c r="Q38" i="3"/>
  <c r="R38" i="3"/>
  <c r="T38" i="3"/>
  <c r="U38" i="3"/>
  <c r="V38" i="3"/>
  <c r="W38" i="3"/>
  <c r="X38" i="3"/>
  <c r="I39" i="3"/>
  <c r="J39" i="3"/>
  <c r="K39" i="3"/>
  <c r="T39" i="3"/>
  <c r="U39" i="3"/>
  <c r="V39" i="3"/>
  <c r="W39" i="3"/>
  <c r="X39" i="3"/>
  <c r="E40" i="3"/>
  <c r="F40" i="3"/>
  <c r="G40" i="3"/>
  <c r="H40" i="3"/>
  <c r="I40" i="3"/>
  <c r="J40" i="3"/>
  <c r="K40" i="3"/>
  <c r="N40" i="3"/>
  <c r="O40" i="3"/>
  <c r="P40" i="3"/>
  <c r="Q40" i="3"/>
  <c r="R40" i="3"/>
  <c r="T40" i="3"/>
  <c r="U40" i="3"/>
  <c r="V40" i="3"/>
  <c r="W40" i="3"/>
  <c r="X40" i="3"/>
  <c r="I41" i="3"/>
  <c r="J41" i="3"/>
  <c r="K41" i="3"/>
  <c r="T41" i="3"/>
  <c r="U41" i="3"/>
  <c r="V41" i="3"/>
  <c r="W41" i="3"/>
  <c r="X41" i="3"/>
  <c r="E42" i="3"/>
  <c r="F42" i="3"/>
  <c r="G42" i="3"/>
  <c r="H42" i="3"/>
  <c r="I42" i="3"/>
  <c r="J42" i="3"/>
  <c r="K42" i="3"/>
  <c r="M42" i="3"/>
  <c r="N42" i="3"/>
  <c r="O42" i="3"/>
  <c r="P42" i="3"/>
  <c r="Q42" i="3"/>
  <c r="R42" i="3"/>
  <c r="T42" i="3"/>
  <c r="U42" i="3"/>
  <c r="V42" i="3"/>
  <c r="W42" i="3"/>
  <c r="X42" i="3"/>
  <c r="E43" i="3"/>
  <c r="F43" i="3"/>
  <c r="G43" i="3"/>
  <c r="H43" i="3"/>
  <c r="I43" i="3"/>
  <c r="J43" i="3"/>
  <c r="K43" i="3"/>
  <c r="N43" i="3"/>
  <c r="O43" i="3"/>
  <c r="P43" i="3"/>
  <c r="Q43" i="3"/>
  <c r="R43" i="3"/>
  <c r="T43" i="3"/>
  <c r="U43" i="3"/>
  <c r="V43" i="3"/>
  <c r="W43" i="3"/>
  <c r="X43" i="3"/>
  <c r="E44" i="3"/>
  <c r="F44" i="3"/>
  <c r="G44" i="3"/>
  <c r="H44" i="3"/>
  <c r="I44" i="3"/>
  <c r="J44" i="3"/>
  <c r="K44" i="3"/>
  <c r="N44" i="3"/>
  <c r="O44" i="3"/>
  <c r="P44" i="3"/>
  <c r="Q44" i="3"/>
  <c r="R44" i="3"/>
  <c r="T44" i="3"/>
  <c r="U44" i="3"/>
  <c r="V44" i="3"/>
  <c r="W44" i="3"/>
  <c r="X44" i="3"/>
  <c r="E45" i="3"/>
  <c r="F45" i="3"/>
  <c r="G45" i="3"/>
  <c r="H45" i="3"/>
  <c r="I45" i="3"/>
  <c r="J45" i="3"/>
  <c r="K45" i="3"/>
  <c r="P45" i="3"/>
  <c r="Q45" i="3"/>
  <c r="T45" i="3"/>
  <c r="U45" i="3"/>
  <c r="V45" i="3"/>
  <c r="W45" i="3"/>
  <c r="X45" i="3"/>
  <c r="E46" i="3"/>
  <c r="F46" i="3"/>
  <c r="G46" i="3"/>
  <c r="H46" i="3"/>
  <c r="I46" i="3"/>
  <c r="J46" i="3"/>
  <c r="K46" i="3"/>
  <c r="N46" i="3"/>
  <c r="O46" i="3"/>
  <c r="P46" i="3"/>
  <c r="Q46" i="3"/>
  <c r="R46" i="3"/>
  <c r="T46" i="3"/>
  <c r="U46" i="3"/>
  <c r="V46" i="3"/>
  <c r="W46" i="3"/>
  <c r="X46" i="3"/>
  <c r="E47" i="3"/>
  <c r="E31" i="3" s="1"/>
  <c r="F47" i="3"/>
  <c r="F31" i="3" s="1"/>
  <c r="G47" i="3"/>
  <c r="G31" i="3" s="1"/>
  <c r="H47" i="3"/>
  <c r="H31" i="3" s="1"/>
  <c r="I47" i="3"/>
  <c r="I31" i="3" s="1"/>
  <c r="J47" i="3"/>
  <c r="J31" i="3" s="1"/>
  <c r="K47" i="3"/>
  <c r="K31" i="3" s="1"/>
  <c r="N47" i="3"/>
  <c r="N31" i="3" s="1"/>
  <c r="O47" i="3"/>
  <c r="O31" i="3" s="1"/>
  <c r="P47" i="3"/>
  <c r="P31" i="3" s="1"/>
  <c r="Q47" i="3"/>
  <c r="Q31" i="3" s="1"/>
  <c r="R47" i="3"/>
  <c r="R31" i="3" s="1"/>
  <c r="T47" i="3"/>
  <c r="T31" i="3" s="1"/>
  <c r="U47" i="3"/>
  <c r="U31" i="3" s="1"/>
  <c r="V47" i="3"/>
  <c r="V31" i="3" s="1"/>
  <c r="W47" i="3"/>
  <c r="W31" i="3" s="1"/>
  <c r="X47" i="3"/>
  <c r="X31" i="3" s="1"/>
  <c r="I48" i="3"/>
  <c r="J48" i="3"/>
  <c r="K48" i="3"/>
  <c r="T48" i="3"/>
  <c r="U48" i="3"/>
  <c r="V48" i="3"/>
  <c r="W48" i="3"/>
  <c r="X48" i="3"/>
  <c r="E49" i="3"/>
  <c r="F49" i="3"/>
  <c r="G49" i="3"/>
  <c r="H49" i="3"/>
  <c r="I49" i="3"/>
  <c r="J49" i="3"/>
  <c r="K49" i="3"/>
  <c r="M49" i="3"/>
  <c r="N49" i="3"/>
  <c r="O49" i="3"/>
  <c r="P49" i="3"/>
  <c r="Q49" i="3"/>
  <c r="R49" i="3"/>
  <c r="T49" i="3"/>
  <c r="U49" i="3"/>
  <c r="V49" i="3"/>
  <c r="W49" i="3"/>
  <c r="X49" i="3"/>
  <c r="E50" i="3"/>
  <c r="F50" i="3"/>
  <c r="G50" i="3"/>
  <c r="H50" i="3"/>
  <c r="I50" i="3"/>
  <c r="J50" i="3"/>
  <c r="K50" i="3"/>
  <c r="N50" i="3"/>
  <c r="O50" i="3"/>
  <c r="P50" i="3"/>
  <c r="Q50" i="3"/>
  <c r="R50" i="3"/>
  <c r="T50" i="3"/>
  <c r="U50" i="3"/>
  <c r="V50" i="3"/>
  <c r="W50" i="3"/>
  <c r="X50" i="3"/>
  <c r="E51" i="3"/>
  <c r="F51" i="3"/>
  <c r="G51" i="3"/>
  <c r="H51" i="3"/>
  <c r="I51" i="3"/>
  <c r="J51" i="3"/>
  <c r="K51" i="3"/>
  <c r="N51" i="3"/>
  <c r="O51" i="3"/>
  <c r="P51" i="3"/>
  <c r="Q51" i="3"/>
  <c r="R51" i="3"/>
  <c r="T51" i="3"/>
  <c r="U51" i="3"/>
  <c r="V51" i="3"/>
  <c r="W51" i="3"/>
  <c r="X51" i="3"/>
  <c r="E52" i="3"/>
  <c r="F52" i="3"/>
  <c r="G52" i="3"/>
  <c r="H52" i="3"/>
  <c r="I52" i="3"/>
  <c r="J52" i="3"/>
  <c r="K52" i="3"/>
  <c r="N52" i="3"/>
  <c r="O52" i="3"/>
  <c r="P52" i="3"/>
  <c r="Q52" i="3"/>
  <c r="R52" i="3"/>
  <c r="T52" i="3"/>
  <c r="U52" i="3"/>
  <c r="V52" i="3"/>
  <c r="W52" i="3"/>
  <c r="E53" i="3"/>
  <c r="F53" i="3"/>
  <c r="G53" i="3"/>
  <c r="H53" i="3"/>
  <c r="I53" i="3"/>
  <c r="J53" i="3"/>
  <c r="K53" i="3"/>
  <c r="N53" i="3"/>
  <c r="O53" i="3"/>
  <c r="P53" i="3"/>
  <c r="Q53" i="3"/>
  <c r="R53" i="3"/>
  <c r="T53" i="3"/>
  <c r="U53" i="3"/>
  <c r="V53" i="3"/>
  <c r="W53" i="3"/>
  <c r="X53" i="3"/>
  <c r="E54" i="3"/>
  <c r="E30" i="3" s="1"/>
  <c r="F54" i="3"/>
  <c r="G54" i="3"/>
  <c r="H54" i="3"/>
  <c r="I54" i="3"/>
  <c r="J54" i="3"/>
  <c r="K54" i="3"/>
  <c r="N54" i="3"/>
  <c r="N30" i="3" s="1"/>
  <c r="N201" i="3" s="1"/>
  <c r="O54" i="3"/>
  <c r="P54" i="3"/>
  <c r="Q54" i="3"/>
  <c r="R54" i="3"/>
  <c r="T54" i="3"/>
  <c r="U54" i="3"/>
  <c r="V54" i="3"/>
  <c r="W54" i="3"/>
  <c r="X54" i="3"/>
  <c r="E55" i="3"/>
  <c r="F55" i="3"/>
  <c r="G55" i="3"/>
  <c r="H55" i="3"/>
  <c r="I55" i="3"/>
  <c r="J55" i="3"/>
  <c r="K55" i="3"/>
  <c r="N55" i="3"/>
  <c r="O55" i="3"/>
  <c r="P55" i="3"/>
  <c r="Q55" i="3"/>
  <c r="R55" i="3"/>
  <c r="T55" i="3"/>
  <c r="U55" i="3"/>
  <c r="V55" i="3"/>
  <c r="W55" i="3"/>
  <c r="X55" i="3"/>
  <c r="E56" i="3"/>
  <c r="F56" i="3"/>
  <c r="G56" i="3"/>
  <c r="H56" i="3"/>
  <c r="I56" i="3"/>
  <c r="J56" i="3"/>
  <c r="K56" i="3"/>
  <c r="O56" i="3"/>
  <c r="P56" i="3"/>
  <c r="Q56" i="3"/>
  <c r="T56" i="3"/>
  <c r="U56" i="3"/>
  <c r="V56" i="3"/>
  <c r="W56" i="3"/>
  <c r="X56" i="3"/>
  <c r="E57" i="3"/>
  <c r="F57" i="3"/>
  <c r="G57" i="3"/>
  <c r="H57" i="3"/>
  <c r="I57" i="3"/>
  <c r="J57" i="3"/>
  <c r="K57" i="3"/>
  <c r="O57" i="3"/>
  <c r="P57" i="3"/>
  <c r="Q57" i="3"/>
  <c r="T57" i="3"/>
  <c r="U57" i="3"/>
  <c r="V57" i="3"/>
  <c r="W57" i="3"/>
  <c r="X57" i="3"/>
  <c r="E58" i="3"/>
  <c r="E22" i="3" s="1"/>
  <c r="F58" i="3"/>
  <c r="F22" i="3" s="1"/>
  <c r="G58" i="3"/>
  <c r="G22" i="3" s="1"/>
  <c r="H58" i="3"/>
  <c r="H22" i="3" s="1"/>
  <c r="I58" i="3"/>
  <c r="I22" i="3" s="1"/>
  <c r="J58" i="3"/>
  <c r="J22" i="3" s="1"/>
  <c r="K58" i="3"/>
  <c r="K22" i="3" s="1"/>
  <c r="O58" i="3"/>
  <c r="O22" i="3" s="1"/>
  <c r="P58" i="3"/>
  <c r="P22" i="3" s="1"/>
  <c r="Q58" i="3"/>
  <c r="Q22" i="3" s="1"/>
  <c r="T58" i="3"/>
  <c r="T22" i="3" s="1"/>
  <c r="U58" i="3"/>
  <c r="U22" i="3" s="1"/>
  <c r="V58" i="3"/>
  <c r="V22" i="3" s="1"/>
  <c r="W58" i="3"/>
  <c r="W22" i="3" s="1"/>
  <c r="X58" i="3"/>
  <c r="X22" i="3" s="1"/>
  <c r="E59" i="3"/>
  <c r="F59" i="3"/>
  <c r="G59" i="3"/>
  <c r="H59" i="3"/>
  <c r="I59" i="3"/>
  <c r="J59" i="3"/>
  <c r="K59" i="3"/>
  <c r="N59" i="3"/>
  <c r="O59" i="3"/>
  <c r="P59" i="3"/>
  <c r="Q59" i="3"/>
  <c r="R59" i="3"/>
  <c r="T59" i="3"/>
  <c r="U59" i="3"/>
  <c r="V59" i="3"/>
  <c r="W59" i="3"/>
  <c r="X59" i="3"/>
  <c r="E60" i="3"/>
  <c r="E23" i="3" s="1"/>
  <c r="F60" i="3"/>
  <c r="F23" i="3" s="1"/>
  <c r="G60" i="3"/>
  <c r="G23" i="3" s="1"/>
  <c r="H60" i="3"/>
  <c r="H23" i="3" s="1"/>
  <c r="I60" i="3"/>
  <c r="I23" i="3" s="1"/>
  <c r="J60" i="3"/>
  <c r="J23" i="3" s="1"/>
  <c r="K60" i="3"/>
  <c r="K23" i="3" s="1"/>
  <c r="N60" i="3"/>
  <c r="N23" i="3" s="1"/>
  <c r="O60" i="3"/>
  <c r="O23" i="3" s="1"/>
  <c r="P60" i="3"/>
  <c r="P23" i="3" s="1"/>
  <c r="Q60" i="3"/>
  <c r="Q23" i="3" s="1"/>
  <c r="R60" i="3"/>
  <c r="R23" i="3" s="1"/>
  <c r="T60" i="3"/>
  <c r="T23" i="3" s="1"/>
  <c r="U60" i="3"/>
  <c r="U23" i="3" s="1"/>
  <c r="V60" i="3"/>
  <c r="V23" i="3" s="1"/>
  <c r="W60" i="3"/>
  <c r="W23" i="3" s="1"/>
  <c r="X60" i="3"/>
  <c r="X23" i="3" s="1"/>
  <c r="E61" i="3"/>
  <c r="F61" i="3"/>
  <c r="G61" i="3"/>
  <c r="H61" i="3"/>
  <c r="I61" i="3"/>
  <c r="J61" i="3"/>
  <c r="K61" i="3"/>
  <c r="N61" i="3"/>
  <c r="O61" i="3"/>
  <c r="P61" i="3"/>
  <c r="Q61" i="3"/>
  <c r="R61" i="3"/>
  <c r="T61" i="3"/>
  <c r="U61" i="3"/>
  <c r="V61" i="3"/>
  <c r="W61" i="3"/>
  <c r="X61" i="3"/>
  <c r="E62" i="3"/>
  <c r="F62" i="3"/>
  <c r="G62" i="3"/>
  <c r="H62" i="3"/>
  <c r="I62" i="3"/>
  <c r="J62" i="3"/>
  <c r="K62" i="3"/>
  <c r="N62" i="3"/>
  <c r="O62" i="3"/>
  <c r="P62" i="3"/>
  <c r="Q62" i="3"/>
  <c r="R62" i="3"/>
  <c r="T62" i="3"/>
  <c r="U62" i="3"/>
  <c r="V62" i="3"/>
  <c r="W62" i="3"/>
  <c r="X62" i="3"/>
  <c r="E63" i="3"/>
  <c r="F63" i="3"/>
  <c r="G63" i="3"/>
  <c r="H63" i="3"/>
  <c r="I63" i="3"/>
  <c r="J63" i="3"/>
  <c r="K63" i="3"/>
  <c r="N63" i="3"/>
  <c r="O63" i="3"/>
  <c r="P63" i="3"/>
  <c r="Q63" i="3"/>
  <c r="R63" i="3"/>
  <c r="T63" i="3"/>
  <c r="U63" i="3"/>
  <c r="V63" i="3"/>
  <c r="W63" i="3"/>
  <c r="X63" i="3"/>
  <c r="E64" i="3"/>
  <c r="F64" i="3"/>
  <c r="G64" i="3"/>
  <c r="H64" i="3"/>
  <c r="I64" i="3"/>
  <c r="J64" i="3"/>
  <c r="K64" i="3"/>
  <c r="O64" i="3"/>
  <c r="P64" i="3"/>
  <c r="Q64" i="3"/>
  <c r="T64" i="3"/>
  <c r="U64" i="3"/>
  <c r="V64" i="3"/>
  <c r="W64" i="3"/>
  <c r="X64" i="3"/>
  <c r="E65" i="3"/>
  <c r="F65" i="3"/>
  <c r="G65" i="3"/>
  <c r="H65" i="3"/>
  <c r="I65" i="3"/>
  <c r="J65" i="3"/>
  <c r="K65" i="3"/>
  <c r="O65" i="3"/>
  <c r="P65" i="3"/>
  <c r="Q65" i="3"/>
  <c r="T65" i="3"/>
  <c r="U65" i="3"/>
  <c r="V65" i="3"/>
  <c r="W65" i="3"/>
  <c r="X65" i="3"/>
  <c r="E66" i="3"/>
  <c r="E29" i="3" s="1"/>
  <c r="F66" i="3"/>
  <c r="F29" i="3" s="1"/>
  <c r="G66" i="3"/>
  <c r="G29" i="3" s="1"/>
  <c r="H66" i="3"/>
  <c r="H29" i="3" s="1"/>
  <c r="I66" i="3"/>
  <c r="I29" i="3" s="1"/>
  <c r="J66" i="3"/>
  <c r="J29" i="3" s="1"/>
  <c r="K66" i="3"/>
  <c r="K29" i="3" s="1"/>
  <c r="O66" i="3"/>
  <c r="O29" i="3" s="1"/>
  <c r="P66" i="3"/>
  <c r="P29" i="3" s="1"/>
  <c r="Q66" i="3"/>
  <c r="Q29" i="3" s="1"/>
  <c r="T66" i="3"/>
  <c r="T29" i="3" s="1"/>
  <c r="U66" i="3"/>
  <c r="U29" i="3" s="1"/>
  <c r="V66" i="3"/>
  <c r="V29" i="3" s="1"/>
  <c r="W66" i="3"/>
  <c r="W29" i="3" s="1"/>
  <c r="X66" i="3"/>
  <c r="X29" i="3" s="1"/>
  <c r="E67" i="3"/>
  <c r="F67" i="3"/>
  <c r="G67" i="3"/>
  <c r="H67" i="3"/>
  <c r="I67" i="3"/>
  <c r="J67" i="3"/>
  <c r="K67" i="3"/>
  <c r="O67" i="3"/>
  <c r="P67" i="3"/>
  <c r="Q67" i="3"/>
  <c r="T67" i="3"/>
  <c r="U67" i="3"/>
  <c r="V67" i="3"/>
  <c r="W67" i="3"/>
  <c r="X67" i="3"/>
  <c r="E68" i="3"/>
  <c r="F68" i="3"/>
  <c r="G68" i="3"/>
  <c r="H68" i="3"/>
  <c r="I68" i="3"/>
  <c r="J68" i="3"/>
  <c r="J26" i="3" s="1"/>
  <c r="K68" i="3"/>
  <c r="N68" i="3"/>
  <c r="N26" i="3" s="1"/>
  <c r="O68" i="3"/>
  <c r="P68" i="3"/>
  <c r="P26" i="3" s="1"/>
  <c r="Q68" i="3"/>
  <c r="R68" i="3"/>
  <c r="T68" i="3"/>
  <c r="U68" i="3"/>
  <c r="V68" i="3"/>
  <c r="W68" i="3"/>
  <c r="X68" i="3"/>
  <c r="E69" i="3"/>
  <c r="F69" i="3"/>
  <c r="G69" i="3"/>
  <c r="H69" i="3"/>
  <c r="I69" i="3"/>
  <c r="J69" i="3"/>
  <c r="K69" i="3"/>
  <c r="N69" i="3"/>
  <c r="O69" i="3"/>
  <c r="P69" i="3"/>
  <c r="Q69" i="3"/>
  <c r="R69" i="3"/>
  <c r="T69" i="3"/>
  <c r="U69" i="3"/>
  <c r="V69" i="3"/>
  <c r="W69" i="3"/>
  <c r="X69" i="3"/>
  <c r="E70" i="3"/>
  <c r="E25" i="3" s="1"/>
  <c r="F70" i="3"/>
  <c r="F25" i="3" s="1"/>
  <c r="G70" i="3"/>
  <c r="G25" i="3" s="1"/>
  <c r="H70" i="3"/>
  <c r="H25" i="3" s="1"/>
  <c r="I70" i="3"/>
  <c r="I25" i="3" s="1"/>
  <c r="J70" i="3"/>
  <c r="J25" i="3" s="1"/>
  <c r="K70" i="3"/>
  <c r="K25" i="3" s="1"/>
  <c r="N70" i="3"/>
  <c r="N25" i="3" s="1"/>
  <c r="O70" i="3"/>
  <c r="O25" i="3" s="1"/>
  <c r="P70" i="3"/>
  <c r="P25" i="3" s="1"/>
  <c r="Q70" i="3"/>
  <c r="Q25" i="3" s="1"/>
  <c r="R70" i="3"/>
  <c r="R25" i="3" s="1"/>
  <c r="T70" i="3"/>
  <c r="T25" i="3" s="1"/>
  <c r="U70" i="3"/>
  <c r="U25" i="3" s="1"/>
  <c r="V70" i="3"/>
  <c r="V25" i="3" s="1"/>
  <c r="W70" i="3"/>
  <c r="W25" i="3" s="1"/>
  <c r="X70" i="3"/>
  <c r="X25" i="3" s="1"/>
  <c r="E71" i="3"/>
  <c r="F71" i="3"/>
  <c r="G71" i="3"/>
  <c r="H71" i="3"/>
  <c r="I71" i="3"/>
  <c r="J71" i="3"/>
  <c r="K71" i="3"/>
  <c r="N71" i="3"/>
  <c r="O71" i="3"/>
  <c r="P71" i="3"/>
  <c r="Q71" i="3"/>
  <c r="R71" i="3"/>
  <c r="T71" i="3"/>
  <c r="U71" i="3"/>
  <c r="V71" i="3"/>
  <c r="W71" i="3"/>
  <c r="X71" i="3"/>
  <c r="E72" i="3"/>
  <c r="E24" i="3" s="1"/>
  <c r="F72" i="3"/>
  <c r="F24" i="3" s="1"/>
  <c r="G72" i="3"/>
  <c r="G24" i="3" s="1"/>
  <c r="H72" i="3"/>
  <c r="H24" i="3" s="1"/>
  <c r="I72" i="3"/>
  <c r="J72" i="3"/>
  <c r="J24" i="3" s="1"/>
  <c r="K72" i="3"/>
  <c r="K24" i="3" s="1"/>
  <c r="N72" i="3"/>
  <c r="N24" i="3" s="1"/>
  <c r="O72" i="3"/>
  <c r="O24" i="3" s="1"/>
  <c r="P72" i="3"/>
  <c r="P24" i="3" s="1"/>
  <c r="Q72" i="3"/>
  <c r="Q24" i="3" s="1"/>
  <c r="R72" i="3"/>
  <c r="R24" i="3" s="1"/>
  <c r="T72" i="3"/>
  <c r="T24" i="3" s="1"/>
  <c r="U72" i="3"/>
  <c r="U24" i="3" s="1"/>
  <c r="V72" i="3"/>
  <c r="V24" i="3" s="1"/>
  <c r="W72" i="3"/>
  <c r="W24" i="3" s="1"/>
  <c r="X72" i="3"/>
  <c r="X24" i="3" s="1"/>
  <c r="E73" i="3"/>
  <c r="F73" i="3"/>
  <c r="G73" i="3"/>
  <c r="H73" i="3"/>
  <c r="I73" i="3"/>
  <c r="J73" i="3"/>
  <c r="K73" i="3"/>
  <c r="N73" i="3"/>
  <c r="P73" i="3"/>
  <c r="Q73" i="3"/>
  <c r="R73" i="3"/>
  <c r="T73" i="3"/>
  <c r="U73" i="3"/>
  <c r="V73" i="3"/>
  <c r="W73" i="3"/>
  <c r="X73" i="3"/>
  <c r="E74" i="3"/>
  <c r="E27" i="3" s="1"/>
  <c r="F74" i="3"/>
  <c r="F27" i="3" s="1"/>
  <c r="G74" i="3"/>
  <c r="G27" i="3" s="1"/>
  <c r="H74" i="3"/>
  <c r="H27" i="3" s="1"/>
  <c r="I74" i="3"/>
  <c r="J74" i="3"/>
  <c r="J27" i="3" s="1"/>
  <c r="K74" i="3"/>
  <c r="K27" i="3" s="1"/>
  <c r="N74" i="3"/>
  <c r="N27" i="3" s="1"/>
  <c r="O74" i="3"/>
  <c r="O27" i="3" s="1"/>
  <c r="P74" i="3"/>
  <c r="P27" i="3" s="1"/>
  <c r="Q74" i="3"/>
  <c r="Q27" i="3" s="1"/>
  <c r="R74" i="3"/>
  <c r="R27" i="3" s="1"/>
  <c r="T74" i="3"/>
  <c r="T27" i="3" s="1"/>
  <c r="U74" i="3"/>
  <c r="U27" i="3" s="1"/>
  <c r="V74" i="3"/>
  <c r="V27" i="3" s="1"/>
  <c r="W74" i="3"/>
  <c r="W27" i="3" s="1"/>
  <c r="X74" i="3"/>
  <c r="X27" i="3" s="1"/>
  <c r="E75" i="3"/>
  <c r="E28" i="3" s="1"/>
  <c r="F75" i="3"/>
  <c r="F28" i="3" s="1"/>
  <c r="G75" i="3"/>
  <c r="G28" i="3" s="1"/>
  <c r="H75" i="3"/>
  <c r="H28" i="3" s="1"/>
  <c r="I75" i="3"/>
  <c r="J75" i="3"/>
  <c r="J28" i="3" s="1"/>
  <c r="K75" i="3"/>
  <c r="K28" i="3" s="1"/>
  <c r="N75" i="3"/>
  <c r="N28" i="3" s="1"/>
  <c r="O75" i="3"/>
  <c r="O28" i="3" s="1"/>
  <c r="P75" i="3"/>
  <c r="P28" i="3" s="1"/>
  <c r="Q75" i="3"/>
  <c r="Q28" i="3" s="1"/>
  <c r="R75" i="3"/>
  <c r="R28" i="3" s="1"/>
  <c r="T75" i="3"/>
  <c r="T28" i="3" s="1"/>
  <c r="U75" i="3"/>
  <c r="U28" i="3" s="1"/>
  <c r="V75" i="3"/>
  <c r="V28" i="3" s="1"/>
  <c r="W75" i="3"/>
  <c r="W28" i="3" s="1"/>
  <c r="X75" i="3"/>
  <c r="X28" i="3" s="1"/>
  <c r="F77" i="3"/>
  <c r="G77" i="3"/>
  <c r="H77" i="3"/>
  <c r="I77" i="3"/>
  <c r="J77" i="3"/>
  <c r="K77" i="3"/>
  <c r="O77" i="3"/>
  <c r="P77" i="3"/>
  <c r="Q77" i="3"/>
  <c r="T77" i="3"/>
  <c r="U77" i="3"/>
  <c r="V77" i="3"/>
  <c r="W77" i="3"/>
  <c r="X77" i="3"/>
  <c r="E78" i="3"/>
  <c r="F78" i="3"/>
  <c r="G78" i="3"/>
  <c r="H78" i="3"/>
  <c r="I78" i="3"/>
  <c r="J78" i="3"/>
  <c r="K78" i="3"/>
  <c r="N78" i="3"/>
  <c r="O78" i="3"/>
  <c r="P78" i="3"/>
  <c r="Q78" i="3"/>
  <c r="R78" i="3"/>
  <c r="T78" i="3"/>
  <c r="U78" i="3"/>
  <c r="V78" i="3"/>
  <c r="W78" i="3"/>
  <c r="X78" i="3"/>
  <c r="F79" i="3"/>
  <c r="G79" i="3"/>
  <c r="H79" i="3"/>
  <c r="I79" i="3"/>
  <c r="J79" i="3"/>
  <c r="K79" i="3"/>
  <c r="N79" i="3"/>
  <c r="O79" i="3"/>
  <c r="P79" i="3"/>
  <c r="Q79" i="3"/>
  <c r="R79" i="3"/>
  <c r="T79" i="3"/>
  <c r="U79" i="3"/>
  <c r="V79" i="3"/>
  <c r="W79" i="3"/>
  <c r="X79" i="3"/>
  <c r="E80" i="3"/>
  <c r="F80" i="3"/>
  <c r="G80" i="3"/>
  <c r="H80" i="3"/>
  <c r="I80" i="3"/>
  <c r="J80" i="3"/>
  <c r="K80" i="3"/>
  <c r="N80" i="3"/>
  <c r="O80" i="3"/>
  <c r="P80" i="3"/>
  <c r="Q80" i="3"/>
  <c r="R80" i="3"/>
  <c r="T80" i="3"/>
  <c r="U80" i="3"/>
  <c r="V80" i="3"/>
  <c r="W80" i="3"/>
  <c r="X80" i="3"/>
  <c r="E81" i="3"/>
  <c r="F81" i="3"/>
  <c r="G81" i="3"/>
  <c r="H81" i="3"/>
  <c r="I81" i="3"/>
  <c r="J81" i="3"/>
  <c r="K81" i="3"/>
  <c r="N81" i="3"/>
  <c r="O81" i="3"/>
  <c r="P81" i="3"/>
  <c r="Q81" i="3"/>
  <c r="R81" i="3"/>
  <c r="T81" i="3"/>
  <c r="U81" i="3"/>
  <c r="V81" i="3"/>
  <c r="W81" i="3"/>
  <c r="X81" i="3"/>
  <c r="F82" i="3"/>
  <c r="G82" i="3"/>
  <c r="H82" i="3"/>
  <c r="I82" i="3"/>
  <c r="J82" i="3"/>
  <c r="K82" i="3"/>
  <c r="N82" i="3"/>
  <c r="O82" i="3"/>
  <c r="P82" i="3"/>
  <c r="Q82" i="3"/>
  <c r="R82" i="3"/>
  <c r="T82" i="3"/>
  <c r="U82" i="3"/>
  <c r="V82" i="3"/>
  <c r="W82" i="3"/>
  <c r="X82" i="3"/>
  <c r="E83" i="3"/>
  <c r="F83" i="3"/>
  <c r="G83" i="3"/>
  <c r="H83" i="3"/>
  <c r="I83" i="3"/>
  <c r="J83" i="3"/>
  <c r="K83" i="3"/>
  <c r="O83" i="3"/>
  <c r="P83" i="3"/>
  <c r="Q83" i="3"/>
  <c r="T83" i="3"/>
  <c r="U83" i="3"/>
  <c r="V83" i="3"/>
  <c r="W83" i="3"/>
  <c r="X83" i="3"/>
  <c r="E89" i="3"/>
  <c r="F89" i="3"/>
  <c r="G89" i="3"/>
  <c r="H89" i="3"/>
  <c r="I89" i="3"/>
  <c r="J89" i="3"/>
  <c r="K89" i="3"/>
  <c r="N89" i="3"/>
  <c r="O89" i="3"/>
  <c r="P89" i="3"/>
  <c r="Q89" i="3"/>
  <c r="R89" i="3"/>
  <c r="T89" i="3"/>
  <c r="U89" i="3"/>
  <c r="V89" i="3"/>
  <c r="W89" i="3"/>
  <c r="X89" i="3"/>
  <c r="E90" i="3"/>
  <c r="F90" i="3"/>
  <c r="G90" i="3"/>
  <c r="H90" i="3"/>
  <c r="I90" i="3"/>
  <c r="J90" i="3"/>
  <c r="K90" i="3"/>
  <c r="N90" i="3"/>
  <c r="O90" i="3"/>
  <c r="P90" i="3"/>
  <c r="Q90" i="3"/>
  <c r="R90" i="3"/>
  <c r="T90" i="3"/>
  <c r="U90" i="3"/>
  <c r="V90" i="3"/>
  <c r="W90" i="3"/>
  <c r="X90" i="3"/>
  <c r="E91" i="3"/>
  <c r="F91" i="3"/>
  <c r="G91" i="3"/>
  <c r="H91" i="3"/>
  <c r="I91" i="3"/>
  <c r="J91" i="3"/>
  <c r="K91" i="3"/>
  <c r="N91" i="3"/>
  <c r="O91" i="3"/>
  <c r="P91" i="3"/>
  <c r="Q91" i="3"/>
  <c r="R91" i="3"/>
  <c r="T91" i="3"/>
  <c r="U91" i="3"/>
  <c r="V91" i="3"/>
  <c r="W91" i="3"/>
  <c r="X91" i="3"/>
  <c r="E92" i="3"/>
  <c r="F92" i="3"/>
  <c r="G92" i="3"/>
  <c r="H92" i="3"/>
  <c r="I92" i="3"/>
  <c r="J92" i="3"/>
  <c r="K92" i="3"/>
  <c r="N92" i="3"/>
  <c r="O92" i="3"/>
  <c r="P92" i="3"/>
  <c r="Q92" i="3"/>
  <c r="R92" i="3"/>
  <c r="T92" i="3"/>
  <c r="U92" i="3"/>
  <c r="V92" i="3"/>
  <c r="W92" i="3"/>
  <c r="X92" i="3"/>
  <c r="E93" i="3"/>
  <c r="F93" i="3"/>
  <c r="G93" i="3"/>
  <c r="H93" i="3"/>
  <c r="I93" i="3"/>
  <c r="J93" i="3"/>
  <c r="K93" i="3"/>
  <c r="N93" i="3"/>
  <c r="O93" i="3"/>
  <c r="P93" i="3"/>
  <c r="Q93" i="3"/>
  <c r="R93" i="3"/>
  <c r="T93" i="3"/>
  <c r="U93" i="3"/>
  <c r="V93" i="3"/>
  <c r="W93" i="3"/>
  <c r="X93" i="3"/>
  <c r="E94" i="3"/>
  <c r="F94" i="3"/>
  <c r="G94" i="3"/>
  <c r="H94" i="3"/>
  <c r="I94" i="3"/>
  <c r="J94" i="3"/>
  <c r="K94" i="3"/>
  <c r="M94" i="3"/>
  <c r="N94" i="3"/>
  <c r="O94" i="3"/>
  <c r="P94" i="3"/>
  <c r="Q94" i="3"/>
  <c r="R94" i="3"/>
  <c r="T94" i="3"/>
  <c r="U94" i="3"/>
  <c r="V94" i="3"/>
  <c r="W94" i="3"/>
  <c r="X94" i="3"/>
  <c r="E95" i="3"/>
  <c r="F95" i="3"/>
  <c r="G95" i="3"/>
  <c r="H95" i="3"/>
  <c r="I95" i="3"/>
  <c r="J95" i="3"/>
  <c r="K95" i="3"/>
  <c r="M95" i="3"/>
  <c r="N95" i="3"/>
  <c r="O95" i="3"/>
  <c r="P95" i="3"/>
  <c r="Q95" i="3"/>
  <c r="R95" i="3"/>
  <c r="T95" i="3"/>
  <c r="U95" i="3"/>
  <c r="V95" i="3"/>
  <c r="W95" i="3"/>
  <c r="X95" i="3"/>
  <c r="E96" i="3"/>
  <c r="F96" i="3"/>
  <c r="G96" i="3"/>
  <c r="H96" i="3"/>
  <c r="I96" i="3"/>
  <c r="J96" i="3"/>
  <c r="K96" i="3"/>
  <c r="M96" i="3"/>
  <c r="N96" i="3"/>
  <c r="O96" i="3"/>
  <c r="P96" i="3"/>
  <c r="Q96" i="3"/>
  <c r="R96" i="3"/>
  <c r="T96" i="3"/>
  <c r="U96" i="3"/>
  <c r="V96" i="3"/>
  <c r="W96" i="3"/>
  <c r="X96" i="3"/>
  <c r="E97" i="3"/>
  <c r="F97" i="3"/>
  <c r="G97" i="3"/>
  <c r="H97" i="3"/>
  <c r="I97" i="3"/>
  <c r="J97" i="3"/>
  <c r="K97" i="3"/>
  <c r="M97" i="3"/>
  <c r="N97" i="3"/>
  <c r="O97" i="3"/>
  <c r="P97" i="3"/>
  <c r="Q97" i="3"/>
  <c r="R97" i="3"/>
  <c r="T97" i="3"/>
  <c r="U97" i="3"/>
  <c r="V97" i="3"/>
  <c r="W97" i="3"/>
  <c r="X97" i="3"/>
  <c r="E98" i="3"/>
  <c r="F98" i="3"/>
  <c r="G98" i="3"/>
  <c r="H98" i="3"/>
  <c r="I98" i="3"/>
  <c r="J98" i="3"/>
  <c r="K98" i="3"/>
  <c r="N98" i="3"/>
  <c r="O98" i="3"/>
  <c r="P98" i="3"/>
  <c r="Q98" i="3"/>
  <c r="R98" i="3"/>
  <c r="T98" i="3"/>
  <c r="U98" i="3"/>
  <c r="V98" i="3"/>
  <c r="W98" i="3"/>
  <c r="X98" i="3"/>
  <c r="F99" i="3"/>
  <c r="G99" i="3"/>
  <c r="H99" i="3"/>
  <c r="I99" i="3"/>
  <c r="J99" i="3"/>
  <c r="K99" i="3"/>
  <c r="O99" i="3"/>
  <c r="P99" i="3"/>
  <c r="Q99" i="3"/>
  <c r="T99" i="3"/>
  <c r="U99" i="3"/>
  <c r="V99" i="3"/>
  <c r="W99" i="3"/>
  <c r="X99" i="3"/>
  <c r="F100" i="3"/>
  <c r="G100" i="3"/>
  <c r="H100" i="3"/>
  <c r="I100" i="3"/>
  <c r="J100" i="3"/>
  <c r="K100" i="3"/>
  <c r="N100" i="3"/>
  <c r="O100" i="3"/>
  <c r="P100" i="3"/>
  <c r="Q100" i="3"/>
  <c r="R100" i="3"/>
  <c r="T100" i="3"/>
  <c r="U100" i="3"/>
  <c r="V100" i="3"/>
  <c r="W100" i="3"/>
  <c r="X100" i="3"/>
  <c r="E101" i="3"/>
  <c r="F101" i="3"/>
  <c r="G101" i="3"/>
  <c r="H101" i="3"/>
  <c r="I101" i="3"/>
  <c r="J101" i="3"/>
  <c r="K101" i="3"/>
  <c r="M101" i="3"/>
  <c r="N101" i="3"/>
  <c r="O101" i="3"/>
  <c r="P101" i="3"/>
  <c r="Q101" i="3"/>
  <c r="R101" i="3"/>
  <c r="T101" i="3"/>
  <c r="U101" i="3"/>
  <c r="V101" i="3"/>
  <c r="W101" i="3"/>
  <c r="X101" i="3"/>
  <c r="H102" i="3"/>
  <c r="I102" i="3"/>
  <c r="J102" i="3"/>
  <c r="K102" i="3"/>
  <c r="N102" i="3"/>
  <c r="O102" i="3"/>
  <c r="P102" i="3"/>
  <c r="Q102" i="3"/>
  <c r="R102" i="3"/>
  <c r="T102" i="3"/>
  <c r="U102" i="3"/>
  <c r="V102" i="3"/>
  <c r="W102" i="3"/>
  <c r="X102" i="3"/>
  <c r="F103" i="3"/>
  <c r="G103" i="3"/>
  <c r="H103" i="3"/>
  <c r="I103" i="3"/>
  <c r="J103" i="3"/>
  <c r="K103" i="3"/>
  <c r="N103" i="3"/>
  <c r="O103" i="3"/>
  <c r="P103" i="3"/>
  <c r="Q103" i="3"/>
  <c r="R103" i="3"/>
  <c r="T103" i="3"/>
  <c r="U103" i="3"/>
  <c r="V103" i="3"/>
  <c r="W103" i="3"/>
  <c r="X103" i="3"/>
  <c r="F104" i="3"/>
  <c r="G104" i="3"/>
  <c r="H104" i="3"/>
  <c r="I104" i="3"/>
  <c r="J104" i="3"/>
  <c r="K104" i="3"/>
  <c r="N104" i="3"/>
  <c r="O104" i="3"/>
  <c r="P104" i="3"/>
  <c r="Q104" i="3"/>
  <c r="R104" i="3"/>
  <c r="T104" i="3"/>
  <c r="U104" i="3"/>
  <c r="V104" i="3"/>
  <c r="W104" i="3"/>
  <c r="X104" i="3"/>
  <c r="E105" i="3"/>
  <c r="F105" i="3"/>
  <c r="G105" i="3"/>
  <c r="H105" i="3"/>
  <c r="I105" i="3"/>
  <c r="J105" i="3"/>
  <c r="K105" i="3"/>
  <c r="M105" i="3"/>
  <c r="N105" i="3"/>
  <c r="O105" i="3"/>
  <c r="P105" i="3"/>
  <c r="Q105" i="3"/>
  <c r="R105" i="3"/>
  <c r="T105" i="3"/>
  <c r="U105" i="3"/>
  <c r="V105" i="3"/>
  <c r="W105" i="3"/>
  <c r="X105" i="3"/>
  <c r="E106" i="3"/>
  <c r="F106" i="3"/>
  <c r="G106" i="3"/>
  <c r="H106" i="3"/>
  <c r="I106" i="3"/>
  <c r="J106" i="3"/>
  <c r="K106" i="3"/>
  <c r="N106" i="3"/>
  <c r="O106" i="3"/>
  <c r="P106" i="3"/>
  <c r="Q106" i="3"/>
  <c r="R106" i="3"/>
  <c r="T106" i="3"/>
  <c r="U106" i="3"/>
  <c r="V106" i="3"/>
  <c r="W106" i="3"/>
  <c r="X106" i="3"/>
  <c r="E107" i="3"/>
  <c r="F107" i="3"/>
  <c r="G107" i="3"/>
  <c r="H107" i="3"/>
  <c r="I107" i="3"/>
  <c r="J107" i="3"/>
  <c r="K107" i="3"/>
  <c r="N107" i="3"/>
  <c r="O107" i="3"/>
  <c r="P107" i="3"/>
  <c r="Q107" i="3"/>
  <c r="R107" i="3"/>
  <c r="T107" i="3"/>
  <c r="U107" i="3"/>
  <c r="V107" i="3"/>
  <c r="W107" i="3"/>
  <c r="X107" i="3"/>
  <c r="E108" i="3"/>
  <c r="F108" i="3"/>
  <c r="G108" i="3"/>
  <c r="H108" i="3"/>
  <c r="I108" i="3"/>
  <c r="J108" i="3"/>
  <c r="K108" i="3"/>
  <c r="M108" i="3"/>
  <c r="N108" i="3"/>
  <c r="O108" i="3"/>
  <c r="P108" i="3"/>
  <c r="Q108" i="3"/>
  <c r="R108" i="3"/>
  <c r="T108" i="3"/>
  <c r="U108" i="3"/>
  <c r="V108" i="3"/>
  <c r="W108" i="3"/>
  <c r="X108" i="3"/>
  <c r="E109" i="3"/>
  <c r="F109" i="3"/>
  <c r="G109" i="3"/>
  <c r="H109" i="3"/>
  <c r="I109" i="3"/>
  <c r="J109" i="3"/>
  <c r="K109" i="3"/>
  <c r="M109" i="3"/>
  <c r="N109" i="3"/>
  <c r="O109" i="3"/>
  <c r="P109" i="3"/>
  <c r="Q109" i="3"/>
  <c r="R109" i="3"/>
  <c r="T109" i="3"/>
  <c r="U109" i="3"/>
  <c r="V109" i="3"/>
  <c r="W109" i="3"/>
  <c r="X109" i="3"/>
  <c r="E110" i="3"/>
  <c r="F110" i="3"/>
  <c r="G110" i="3"/>
  <c r="H110" i="3"/>
  <c r="I110" i="3"/>
  <c r="J110" i="3"/>
  <c r="K110" i="3"/>
  <c r="N110" i="3"/>
  <c r="O110" i="3"/>
  <c r="P110" i="3"/>
  <c r="Q110" i="3"/>
  <c r="R110" i="3"/>
  <c r="T110" i="3"/>
  <c r="U110" i="3"/>
  <c r="V110" i="3"/>
  <c r="W110" i="3"/>
  <c r="X110" i="3"/>
  <c r="E111" i="3"/>
  <c r="F111" i="3"/>
  <c r="G111" i="3"/>
  <c r="H111" i="3"/>
  <c r="I111" i="3"/>
  <c r="J111" i="3"/>
  <c r="K111" i="3"/>
  <c r="N111" i="3"/>
  <c r="O111" i="3"/>
  <c r="P111" i="3"/>
  <c r="Q111" i="3"/>
  <c r="R111" i="3"/>
  <c r="T111" i="3"/>
  <c r="U111" i="3"/>
  <c r="V111" i="3"/>
  <c r="W111" i="3"/>
  <c r="X111" i="3"/>
  <c r="E112" i="3"/>
  <c r="F112" i="3"/>
  <c r="G112" i="3"/>
  <c r="H112" i="3"/>
  <c r="I112" i="3"/>
  <c r="J112" i="3"/>
  <c r="K112" i="3"/>
  <c r="N112" i="3"/>
  <c r="O112" i="3"/>
  <c r="P112" i="3"/>
  <c r="Q112" i="3"/>
  <c r="R112" i="3"/>
  <c r="T112" i="3"/>
  <c r="U112" i="3"/>
  <c r="V112" i="3"/>
  <c r="W112" i="3"/>
  <c r="X112" i="3"/>
  <c r="E113" i="3"/>
  <c r="E88" i="3" s="1"/>
  <c r="F113" i="3"/>
  <c r="F88" i="3" s="1"/>
  <c r="G113" i="3"/>
  <c r="G88" i="3" s="1"/>
  <c r="H113" i="3"/>
  <c r="H88" i="3" s="1"/>
  <c r="I113" i="3"/>
  <c r="J113" i="3"/>
  <c r="J88" i="3" s="1"/>
  <c r="K113" i="3"/>
  <c r="K88" i="3" s="1"/>
  <c r="N113" i="3"/>
  <c r="N88" i="3" s="1"/>
  <c r="O113" i="3"/>
  <c r="O88" i="3" s="1"/>
  <c r="P113" i="3"/>
  <c r="P88" i="3" s="1"/>
  <c r="Q113" i="3"/>
  <c r="Q88" i="3" s="1"/>
  <c r="R113" i="3"/>
  <c r="R88" i="3" s="1"/>
  <c r="T113" i="3"/>
  <c r="T88" i="3" s="1"/>
  <c r="U113" i="3"/>
  <c r="U88" i="3" s="1"/>
  <c r="V113" i="3"/>
  <c r="V88" i="3" s="1"/>
  <c r="W113" i="3"/>
  <c r="W88" i="3" s="1"/>
  <c r="X113" i="3"/>
  <c r="X88" i="3" s="1"/>
  <c r="E114" i="3"/>
  <c r="F114" i="3"/>
  <c r="G114" i="3"/>
  <c r="H114" i="3"/>
  <c r="I114" i="3"/>
  <c r="J114" i="3"/>
  <c r="K114" i="3"/>
  <c r="N114" i="3"/>
  <c r="O114" i="3"/>
  <c r="P114" i="3"/>
  <c r="Q114" i="3"/>
  <c r="R114" i="3"/>
  <c r="T114" i="3"/>
  <c r="U114" i="3"/>
  <c r="V114" i="3"/>
  <c r="W114" i="3"/>
  <c r="X114" i="3"/>
  <c r="E115" i="3"/>
  <c r="F115" i="3"/>
  <c r="G115" i="3"/>
  <c r="H115" i="3"/>
  <c r="I115" i="3"/>
  <c r="J115" i="3"/>
  <c r="K115" i="3"/>
  <c r="N115" i="3"/>
  <c r="O115" i="3"/>
  <c r="P115" i="3"/>
  <c r="Q115" i="3"/>
  <c r="R115" i="3"/>
  <c r="T115" i="3"/>
  <c r="U115" i="3"/>
  <c r="V115" i="3"/>
  <c r="W115" i="3"/>
  <c r="X115" i="3"/>
  <c r="H116" i="3"/>
  <c r="I116" i="3"/>
  <c r="J116" i="3"/>
  <c r="K116" i="3"/>
  <c r="N116" i="3"/>
  <c r="O116" i="3"/>
  <c r="P116" i="3"/>
  <c r="Q116" i="3"/>
  <c r="R116" i="3"/>
  <c r="T116" i="3"/>
  <c r="U116" i="3"/>
  <c r="V116" i="3"/>
  <c r="W116" i="3"/>
  <c r="X116" i="3"/>
  <c r="F117" i="3"/>
  <c r="G117" i="3"/>
  <c r="H117" i="3"/>
  <c r="I117" i="3"/>
  <c r="J117" i="3"/>
  <c r="K117" i="3"/>
  <c r="N117" i="3"/>
  <c r="O117" i="3"/>
  <c r="P117" i="3"/>
  <c r="Q117" i="3"/>
  <c r="R117" i="3"/>
  <c r="T117" i="3"/>
  <c r="U117" i="3"/>
  <c r="V117" i="3"/>
  <c r="W117" i="3"/>
  <c r="X117" i="3"/>
  <c r="F118" i="3"/>
  <c r="G118" i="3"/>
  <c r="H118" i="3"/>
  <c r="I118" i="3"/>
  <c r="J118" i="3"/>
  <c r="K118" i="3"/>
  <c r="N118" i="3"/>
  <c r="O118" i="3"/>
  <c r="P118" i="3"/>
  <c r="Q118" i="3"/>
  <c r="R118" i="3"/>
  <c r="T118" i="3"/>
  <c r="U118" i="3"/>
  <c r="V118" i="3"/>
  <c r="W118" i="3"/>
  <c r="X118" i="3"/>
  <c r="E119" i="3"/>
  <c r="F119" i="3"/>
  <c r="F86" i="3" s="1"/>
  <c r="F200" i="3" s="1"/>
  <c r="G119" i="3"/>
  <c r="G86" i="3" s="1"/>
  <c r="H119" i="3"/>
  <c r="H86" i="3" s="1"/>
  <c r="H200" i="3" s="1"/>
  <c r="I269" i="1" s="1"/>
  <c r="I119" i="3"/>
  <c r="I86" i="3" s="1"/>
  <c r="I200" i="3" s="1"/>
  <c r="J119" i="3"/>
  <c r="K119" i="3"/>
  <c r="N119" i="3"/>
  <c r="N86" i="3" s="1"/>
  <c r="O119" i="3"/>
  <c r="O86" i="3" s="1"/>
  <c r="O200" i="3" s="1"/>
  <c r="P119" i="3"/>
  <c r="P86" i="3" s="1"/>
  <c r="Q119" i="3"/>
  <c r="R119" i="3"/>
  <c r="T119" i="3"/>
  <c r="U119" i="3"/>
  <c r="U86" i="3" s="1"/>
  <c r="U200" i="3" s="1"/>
  <c r="V119" i="3"/>
  <c r="V86" i="3" s="1"/>
  <c r="W119" i="3"/>
  <c r="W86" i="3" s="1"/>
  <c r="W200" i="3" s="1"/>
  <c r="X269" i="1" s="1"/>
  <c r="X119" i="3"/>
  <c r="E120" i="3"/>
  <c r="E87" i="3" s="1"/>
  <c r="F120" i="3"/>
  <c r="F87" i="3" s="1"/>
  <c r="G120" i="3"/>
  <c r="G87" i="3" s="1"/>
  <c r="H120" i="3"/>
  <c r="H87" i="3" s="1"/>
  <c r="I120" i="3"/>
  <c r="J120" i="3"/>
  <c r="J87" i="3" s="1"/>
  <c r="K120" i="3"/>
  <c r="K87" i="3" s="1"/>
  <c r="N120" i="3"/>
  <c r="N87" i="3" s="1"/>
  <c r="O120" i="3"/>
  <c r="O87" i="3" s="1"/>
  <c r="P120" i="3"/>
  <c r="P87" i="3" s="1"/>
  <c r="Q120" i="3"/>
  <c r="Q87" i="3" s="1"/>
  <c r="R120" i="3"/>
  <c r="R87" i="3" s="1"/>
  <c r="T120" i="3"/>
  <c r="T87" i="3" s="1"/>
  <c r="U120" i="3"/>
  <c r="U87" i="3" s="1"/>
  <c r="V120" i="3"/>
  <c r="V87" i="3" s="1"/>
  <c r="W120" i="3"/>
  <c r="W87" i="3" s="1"/>
  <c r="X120" i="3"/>
  <c r="X87" i="3" s="1"/>
  <c r="F122" i="3"/>
  <c r="G122" i="3"/>
  <c r="H122" i="3"/>
  <c r="I122" i="3"/>
  <c r="J122" i="3"/>
  <c r="K122" i="3"/>
  <c r="O122" i="3"/>
  <c r="P122" i="3"/>
  <c r="Q122" i="3"/>
  <c r="T122" i="3"/>
  <c r="U122" i="3"/>
  <c r="V122" i="3"/>
  <c r="W122" i="3"/>
  <c r="X122" i="3"/>
  <c r="E123" i="3"/>
  <c r="F123" i="3"/>
  <c r="G123" i="3"/>
  <c r="H123" i="3"/>
  <c r="I123" i="3"/>
  <c r="J123" i="3"/>
  <c r="K123" i="3"/>
  <c r="N123" i="3"/>
  <c r="O123" i="3"/>
  <c r="P123" i="3"/>
  <c r="Q123" i="3"/>
  <c r="R123" i="3"/>
  <c r="T123" i="3"/>
  <c r="U123" i="3"/>
  <c r="V123" i="3"/>
  <c r="W123" i="3"/>
  <c r="X123" i="3"/>
  <c r="E124" i="3"/>
  <c r="F124" i="3"/>
  <c r="H124" i="3"/>
  <c r="I124" i="3"/>
  <c r="J124" i="3"/>
  <c r="K124" i="3"/>
  <c r="N124" i="3"/>
  <c r="O124" i="3"/>
  <c r="P124" i="3"/>
  <c r="Q124" i="3"/>
  <c r="R124" i="3"/>
  <c r="T124" i="3"/>
  <c r="U124" i="3"/>
  <c r="V124" i="3"/>
  <c r="W124" i="3"/>
  <c r="X124" i="3"/>
  <c r="E125" i="3"/>
  <c r="F125" i="3"/>
  <c r="G125" i="3"/>
  <c r="H125" i="3"/>
  <c r="I125" i="3"/>
  <c r="J125" i="3"/>
  <c r="K125" i="3"/>
  <c r="N125" i="3"/>
  <c r="O125" i="3"/>
  <c r="P125" i="3"/>
  <c r="Q125" i="3"/>
  <c r="R125" i="3"/>
  <c r="T125" i="3"/>
  <c r="U125" i="3"/>
  <c r="V125" i="3"/>
  <c r="W125" i="3"/>
  <c r="X125" i="3"/>
  <c r="F127" i="3"/>
  <c r="G127" i="3"/>
  <c r="H127" i="3"/>
  <c r="I127" i="3"/>
  <c r="J127" i="3"/>
  <c r="K127" i="3"/>
  <c r="N127" i="3"/>
  <c r="O127" i="3"/>
  <c r="P127" i="3"/>
  <c r="Q127" i="3"/>
  <c r="R127" i="3"/>
  <c r="T127" i="3"/>
  <c r="U127" i="3"/>
  <c r="V127" i="3"/>
  <c r="W127" i="3"/>
  <c r="X127" i="3"/>
  <c r="F128" i="3"/>
  <c r="G128" i="3"/>
  <c r="H128" i="3"/>
  <c r="I128" i="3"/>
  <c r="J128" i="3"/>
  <c r="K128" i="3"/>
  <c r="N128" i="3"/>
  <c r="O128" i="3"/>
  <c r="P128" i="3"/>
  <c r="Q128" i="3"/>
  <c r="R128" i="3"/>
  <c r="T128" i="3"/>
  <c r="U128" i="3"/>
  <c r="V128" i="3"/>
  <c r="W128" i="3"/>
  <c r="X128" i="3"/>
  <c r="F129" i="3"/>
  <c r="G129" i="3"/>
  <c r="H129" i="3"/>
  <c r="I129" i="3"/>
  <c r="J129" i="3"/>
  <c r="K129" i="3"/>
  <c r="N129" i="3"/>
  <c r="O129" i="3"/>
  <c r="P129" i="3"/>
  <c r="Q129" i="3"/>
  <c r="R129" i="3"/>
  <c r="T129" i="3"/>
  <c r="U129" i="3"/>
  <c r="V129" i="3"/>
  <c r="W129" i="3"/>
  <c r="X129" i="3"/>
  <c r="F130" i="3"/>
  <c r="G130" i="3"/>
  <c r="H130" i="3"/>
  <c r="I130" i="3"/>
  <c r="J130" i="3"/>
  <c r="K130" i="3"/>
  <c r="N130" i="3"/>
  <c r="O130" i="3"/>
  <c r="P130" i="3"/>
  <c r="Q130" i="3"/>
  <c r="R130" i="3"/>
  <c r="T130" i="3"/>
  <c r="U130" i="3"/>
  <c r="V130" i="3"/>
  <c r="W130" i="3"/>
  <c r="X130" i="3"/>
  <c r="E131" i="3"/>
  <c r="F131" i="3"/>
  <c r="G131" i="3"/>
  <c r="H131" i="3"/>
  <c r="I131" i="3"/>
  <c r="J131" i="3"/>
  <c r="K131" i="3"/>
  <c r="N131" i="3"/>
  <c r="O131" i="3"/>
  <c r="P131" i="3"/>
  <c r="Q131" i="3"/>
  <c r="R131" i="3"/>
  <c r="T131" i="3"/>
  <c r="U131" i="3"/>
  <c r="V131" i="3"/>
  <c r="W131" i="3"/>
  <c r="X131" i="3"/>
  <c r="E132" i="3"/>
  <c r="F132" i="3"/>
  <c r="G132" i="3"/>
  <c r="H132" i="3"/>
  <c r="I132" i="3"/>
  <c r="J132" i="3"/>
  <c r="K132" i="3"/>
  <c r="N132" i="3"/>
  <c r="O132" i="3"/>
  <c r="P132" i="3"/>
  <c r="Q132" i="3"/>
  <c r="R132" i="3"/>
  <c r="T132" i="3"/>
  <c r="U132" i="3"/>
  <c r="V132" i="3"/>
  <c r="W132" i="3"/>
  <c r="X132" i="3"/>
  <c r="E135" i="3"/>
  <c r="F135" i="3"/>
  <c r="G135" i="3"/>
  <c r="H135" i="3"/>
  <c r="I135" i="3"/>
  <c r="J135" i="3"/>
  <c r="K135" i="3"/>
  <c r="N135" i="3"/>
  <c r="O135" i="3"/>
  <c r="P135" i="3"/>
  <c r="Q135" i="3"/>
  <c r="R135" i="3"/>
  <c r="T135" i="3"/>
  <c r="U135" i="3"/>
  <c r="V135" i="3"/>
  <c r="W135" i="3"/>
  <c r="X135" i="3"/>
  <c r="E136" i="3"/>
  <c r="F136" i="3"/>
  <c r="G136" i="3"/>
  <c r="H136" i="3"/>
  <c r="I136" i="3"/>
  <c r="J136" i="3"/>
  <c r="K136" i="3"/>
  <c r="N136" i="3"/>
  <c r="O136" i="3"/>
  <c r="P136" i="3"/>
  <c r="Q136" i="3"/>
  <c r="R136" i="3"/>
  <c r="T136" i="3"/>
  <c r="U136" i="3"/>
  <c r="V136" i="3"/>
  <c r="W136" i="3"/>
  <c r="X136" i="3"/>
  <c r="E137" i="3"/>
  <c r="F137" i="3"/>
  <c r="G137" i="3"/>
  <c r="H137" i="3"/>
  <c r="I137" i="3"/>
  <c r="J137" i="3"/>
  <c r="K137" i="3"/>
  <c r="N137" i="3"/>
  <c r="O137" i="3"/>
  <c r="P137" i="3"/>
  <c r="Q137" i="3"/>
  <c r="R137" i="3"/>
  <c r="T137" i="3"/>
  <c r="U137" i="3"/>
  <c r="V137" i="3"/>
  <c r="W137" i="3"/>
  <c r="X137" i="3"/>
  <c r="E138" i="3"/>
  <c r="F138" i="3"/>
  <c r="G138" i="3"/>
  <c r="H138" i="3"/>
  <c r="I138" i="3"/>
  <c r="J138" i="3"/>
  <c r="K138" i="3"/>
  <c r="N138" i="3"/>
  <c r="O138" i="3"/>
  <c r="P138" i="3"/>
  <c r="Q138" i="3"/>
  <c r="R138" i="3"/>
  <c r="T138" i="3"/>
  <c r="U138" i="3"/>
  <c r="V138" i="3"/>
  <c r="W138" i="3"/>
  <c r="X138" i="3"/>
  <c r="F139" i="3"/>
  <c r="I139" i="3"/>
  <c r="J139" i="3"/>
  <c r="K139" i="3"/>
  <c r="N139" i="3"/>
  <c r="O139" i="3"/>
  <c r="P139" i="3"/>
  <c r="Q139" i="3"/>
  <c r="R139" i="3"/>
  <c r="T139" i="3"/>
  <c r="U139" i="3"/>
  <c r="V139" i="3"/>
  <c r="W139" i="3"/>
  <c r="X139" i="3"/>
  <c r="E140" i="3"/>
  <c r="F140" i="3"/>
  <c r="G140" i="3"/>
  <c r="H140" i="3"/>
  <c r="I140" i="3"/>
  <c r="J140" i="3"/>
  <c r="K140" i="3"/>
  <c r="N140" i="3"/>
  <c r="O140" i="3"/>
  <c r="P140" i="3"/>
  <c r="Q140" i="3"/>
  <c r="R140" i="3"/>
  <c r="T140" i="3"/>
  <c r="U140" i="3"/>
  <c r="V140" i="3"/>
  <c r="W140" i="3"/>
  <c r="X140" i="3"/>
  <c r="E141" i="3"/>
  <c r="F141" i="3"/>
  <c r="G141" i="3"/>
  <c r="H141" i="3"/>
  <c r="I141" i="3"/>
  <c r="J141" i="3"/>
  <c r="K141" i="3"/>
  <c r="N141" i="3"/>
  <c r="O141" i="3"/>
  <c r="P141" i="3"/>
  <c r="Q141" i="3"/>
  <c r="R141" i="3"/>
  <c r="T141" i="3"/>
  <c r="U141" i="3"/>
  <c r="V141" i="3"/>
  <c r="W141" i="3"/>
  <c r="X141" i="3"/>
  <c r="E142" i="3"/>
  <c r="F142" i="3"/>
  <c r="G142" i="3"/>
  <c r="H142" i="3"/>
  <c r="I142" i="3"/>
  <c r="J142" i="3"/>
  <c r="K142" i="3"/>
  <c r="O142" i="3"/>
  <c r="P142" i="3"/>
  <c r="Q142" i="3"/>
  <c r="T142" i="3"/>
  <c r="U142" i="3"/>
  <c r="V142" i="3"/>
  <c r="W142" i="3"/>
  <c r="X142" i="3"/>
  <c r="F143" i="3"/>
  <c r="G143" i="3"/>
  <c r="H143" i="3"/>
  <c r="I143" i="3"/>
  <c r="J143" i="3"/>
  <c r="K143" i="3"/>
  <c r="O143" i="3"/>
  <c r="P143" i="3"/>
  <c r="Q143" i="3"/>
  <c r="T143" i="3"/>
  <c r="U143" i="3"/>
  <c r="V143" i="3"/>
  <c r="W143" i="3"/>
  <c r="X143" i="3"/>
  <c r="E144" i="3"/>
  <c r="F144" i="3"/>
  <c r="G144" i="3"/>
  <c r="H144" i="3"/>
  <c r="I144" i="3"/>
  <c r="J144" i="3"/>
  <c r="K144" i="3"/>
  <c r="N144" i="3"/>
  <c r="O144" i="3"/>
  <c r="P144" i="3"/>
  <c r="Q144" i="3"/>
  <c r="R144" i="3"/>
  <c r="T144" i="3"/>
  <c r="U144" i="3"/>
  <c r="V144" i="3"/>
  <c r="W144" i="3"/>
  <c r="X144" i="3"/>
  <c r="E145" i="3"/>
  <c r="E134" i="3" s="1"/>
  <c r="F145" i="3"/>
  <c r="F134" i="3" s="1"/>
  <c r="G145" i="3"/>
  <c r="G134" i="3" s="1"/>
  <c r="H145" i="3"/>
  <c r="H134" i="3" s="1"/>
  <c r="I145" i="3"/>
  <c r="J145" i="3"/>
  <c r="J134" i="3" s="1"/>
  <c r="K145" i="3"/>
  <c r="K134" i="3" s="1"/>
  <c r="N145" i="3"/>
  <c r="N134" i="3" s="1"/>
  <c r="O145" i="3"/>
  <c r="O134" i="3" s="1"/>
  <c r="P145" i="3"/>
  <c r="P134" i="3" s="1"/>
  <c r="Q145" i="3"/>
  <c r="Q134" i="3" s="1"/>
  <c r="R145" i="3"/>
  <c r="R134" i="3" s="1"/>
  <c r="T145" i="3"/>
  <c r="T134" i="3" s="1"/>
  <c r="U145" i="3"/>
  <c r="U134" i="3" s="1"/>
  <c r="V145" i="3"/>
  <c r="V134" i="3" s="1"/>
  <c r="W145" i="3"/>
  <c r="W134" i="3" s="1"/>
  <c r="X145" i="3"/>
  <c r="X134" i="3" s="1"/>
  <c r="E151" i="3"/>
  <c r="E150" i="3" s="1"/>
  <c r="F151" i="3"/>
  <c r="F150" i="3" s="1"/>
  <c r="G151" i="3"/>
  <c r="G150" i="3" s="1"/>
  <c r="H151" i="3"/>
  <c r="H150" i="3" s="1"/>
  <c r="I151" i="3"/>
  <c r="J151" i="3"/>
  <c r="J150" i="3" s="1"/>
  <c r="K151" i="3"/>
  <c r="K150" i="3" s="1"/>
  <c r="N151" i="3"/>
  <c r="N150" i="3" s="1"/>
  <c r="O151" i="3"/>
  <c r="O150" i="3" s="1"/>
  <c r="P151" i="3"/>
  <c r="P150" i="3" s="1"/>
  <c r="Q151" i="3"/>
  <c r="Q150" i="3" s="1"/>
  <c r="R151" i="3"/>
  <c r="R150" i="3" s="1"/>
  <c r="T151" i="3"/>
  <c r="T150" i="3" s="1"/>
  <c r="U151" i="3"/>
  <c r="U150" i="3" s="1"/>
  <c r="V151" i="3"/>
  <c r="V150" i="3" s="1"/>
  <c r="W151" i="3"/>
  <c r="W150" i="3" s="1"/>
  <c r="X151" i="3"/>
  <c r="X150" i="3" s="1"/>
  <c r="E154" i="3"/>
  <c r="F154" i="3"/>
  <c r="G154" i="3"/>
  <c r="H154" i="3"/>
  <c r="I154" i="3"/>
  <c r="J154" i="3"/>
  <c r="K154" i="3"/>
  <c r="O154" i="3"/>
  <c r="P154" i="3"/>
  <c r="Q154" i="3"/>
  <c r="T154" i="3"/>
  <c r="U154" i="3"/>
  <c r="V154" i="3"/>
  <c r="W154" i="3"/>
  <c r="X154" i="3"/>
  <c r="E155" i="3"/>
  <c r="F155" i="3"/>
  <c r="G155" i="3"/>
  <c r="H155" i="3"/>
  <c r="I155" i="3"/>
  <c r="J155" i="3"/>
  <c r="K155" i="3"/>
  <c r="N155" i="3"/>
  <c r="O155" i="3"/>
  <c r="P155" i="3"/>
  <c r="Q155" i="3"/>
  <c r="R155" i="3"/>
  <c r="T155" i="3"/>
  <c r="U155" i="3"/>
  <c r="V155" i="3"/>
  <c r="W155" i="3"/>
  <c r="X155" i="3"/>
  <c r="E156" i="3"/>
  <c r="F156" i="3"/>
  <c r="G156" i="3"/>
  <c r="H156" i="3"/>
  <c r="I156" i="3"/>
  <c r="J156" i="3"/>
  <c r="K156" i="3"/>
  <c r="N156" i="3"/>
  <c r="O156" i="3"/>
  <c r="P156" i="3"/>
  <c r="Q156" i="3"/>
  <c r="R156" i="3"/>
  <c r="T156" i="3"/>
  <c r="U156" i="3"/>
  <c r="V156" i="3"/>
  <c r="W156" i="3"/>
  <c r="X156" i="3"/>
  <c r="E157" i="3"/>
  <c r="E153" i="3" s="1"/>
  <c r="E147" i="3" s="1"/>
  <c r="F157" i="3"/>
  <c r="F153" i="3" s="1"/>
  <c r="F147" i="3" s="1"/>
  <c r="G157" i="3"/>
  <c r="G153" i="3" s="1"/>
  <c r="G147" i="3" s="1"/>
  <c r="H157" i="3"/>
  <c r="H153" i="3" s="1"/>
  <c r="H147" i="3" s="1"/>
  <c r="I157" i="3"/>
  <c r="J157" i="3"/>
  <c r="J153" i="3" s="1"/>
  <c r="J147" i="3" s="1"/>
  <c r="K157" i="3"/>
  <c r="K153" i="3" s="1"/>
  <c r="K147" i="3" s="1"/>
  <c r="N157" i="3"/>
  <c r="N153" i="3" s="1"/>
  <c r="N147" i="3" s="1"/>
  <c r="O157" i="3"/>
  <c r="O153" i="3" s="1"/>
  <c r="O147" i="3" s="1"/>
  <c r="P157" i="3"/>
  <c r="P153" i="3" s="1"/>
  <c r="P147" i="3" s="1"/>
  <c r="Q157" i="3"/>
  <c r="Q153" i="3" s="1"/>
  <c r="Q147" i="3" s="1"/>
  <c r="R157" i="3"/>
  <c r="R153" i="3" s="1"/>
  <c r="R147" i="3" s="1"/>
  <c r="T157" i="3"/>
  <c r="T153" i="3" s="1"/>
  <c r="T147" i="3" s="1"/>
  <c r="U157" i="3"/>
  <c r="U153" i="3" s="1"/>
  <c r="U147" i="3" s="1"/>
  <c r="V157" i="3"/>
  <c r="V153" i="3" s="1"/>
  <c r="V147" i="3" s="1"/>
  <c r="W157" i="3"/>
  <c r="W153" i="3" s="1"/>
  <c r="W147" i="3" s="1"/>
  <c r="X157" i="3"/>
  <c r="X153" i="3" s="1"/>
  <c r="X147" i="3" s="1"/>
  <c r="E159" i="3"/>
  <c r="F159" i="3"/>
  <c r="G159" i="3"/>
  <c r="H159" i="3"/>
  <c r="I159" i="3"/>
  <c r="J159" i="3"/>
  <c r="K159" i="3"/>
  <c r="N159" i="3"/>
  <c r="O159" i="3"/>
  <c r="P159" i="3"/>
  <c r="Q159" i="3"/>
  <c r="R159" i="3"/>
  <c r="T159" i="3"/>
  <c r="U159" i="3"/>
  <c r="V159" i="3"/>
  <c r="W159" i="3"/>
  <c r="X159" i="3"/>
  <c r="E160" i="3"/>
  <c r="F160" i="3"/>
  <c r="G160" i="3"/>
  <c r="H160" i="3"/>
  <c r="I160" i="3"/>
  <c r="J160" i="3"/>
  <c r="K160" i="3"/>
  <c r="N160" i="3"/>
  <c r="O160" i="3"/>
  <c r="P160" i="3"/>
  <c r="Q160" i="3"/>
  <c r="R160" i="3"/>
  <c r="T160" i="3"/>
  <c r="U160" i="3"/>
  <c r="V160" i="3"/>
  <c r="W160" i="3"/>
  <c r="X160" i="3"/>
  <c r="F161" i="3"/>
  <c r="G161" i="3"/>
  <c r="H161" i="3"/>
  <c r="I161" i="3"/>
  <c r="J161" i="3"/>
  <c r="K161" i="3"/>
  <c r="N161" i="3"/>
  <c r="O161" i="3"/>
  <c r="P161" i="3"/>
  <c r="Q161" i="3"/>
  <c r="R161" i="3"/>
  <c r="T161" i="3"/>
  <c r="U161" i="3"/>
  <c r="V161" i="3"/>
  <c r="W161" i="3"/>
  <c r="X161" i="3"/>
  <c r="E162" i="3"/>
  <c r="F162" i="3"/>
  <c r="G162" i="3"/>
  <c r="H162" i="3"/>
  <c r="I162" i="3"/>
  <c r="J162" i="3"/>
  <c r="K162" i="3"/>
  <c r="N162" i="3"/>
  <c r="O162" i="3"/>
  <c r="P162" i="3"/>
  <c r="Q162" i="3"/>
  <c r="R162" i="3"/>
  <c r="T162" i="3"/>
  <c r="U162" i="3"/>
  <c r="V162" i="3"/>
  <c r="W162" i="3"/>
  <c r="X162" i="3"/>
  <c r="E164" i="3"/>
  <c r="E163" i="3" s="1"/>
  <c r="F164" i="3"/>
  <c r="F163" i="3" s="1"/>
  <c r="G164" i="3"/>
  <c r="G163" i="3" s="1"/>
  <c r="H164" i="3"/>
  <c r="H163" i="3" s="1"/>
  <c r="I164" i="3"/>
  <c r="J164" i="3"/>
  <c r="J163" i="3" s="1"/>
  <c r="K164" i="3"/>
  <c r="K163" i="3" s="1"/>
  <c r="N164" i="3"/>
  <c r="N163" i="3" s="1"/>
  <c r="O164" i="3"/>
  <c r="O163" i="3" s="1"/>
  <c r="P164" i="3"/>
  <c r="P163" i="3" s="1"/>
  <c r="Q164" i="3"/>
  <c r="Q163" i="3" s="1"/>
  <c r="R164" i="3"/>
  <c r="R163" i="3" s="1"/>
  <c r="T164" i="3"/>
  <c r="T163" i="3" s="1"/>
  <c r="U164" i="3"/>
  <c r="U163" i="3" s="1"/>
  <c r="V164" i="3"/>
  <c r="V163" i="3" s="1"/>
  <c r="W164" i="3"/>
  <c r="W163" i="3" s="1"/>
  <c r="X164" i="3"/>
  <c r="X163" i="3" s="1"/>
  <c r="E168" i="3"/>
  <c r="F168" i="3"/>
  <c r="G168" i="3"/>
  <c r="H168" i="3"/>
  <c r="I168" i="3"/>
  <c r="J168" i="3"/>
  <c r="K168" i="3"/>
  <c r="O168" i="3"/>
  <c r="P168" i="3"/>
  <c r="Q168" i="3"/>
  <c r="T168" i="3"/>
  <c r="U168" i="3"/>
  <c r="V168" i="3"/>
  <c r="W168" i="3"/>
  <c r="X168" i="3"/>
  <c r="E169" i="3"/>
  <c r="F169" i="3"/>
  <c r="G169" i="3"/>
  <c r="H169" i="3"/>
  <c r="I169" i="3"/>
  <c r="J169" i="3"/>
  <c r="K169" i="3"/>
  <c r="O169" i="3"/>
  <c r="P169" i="3"/>
  <c r="Q169" i="3"/>
  <c r="T169" i="3"/>
  <c r="U169" i="3"/>
  <c r="V169" i="3"/>
  <c r="W169" i="3"/>
  <c r="X169" i="3"/>
  <c r="E170" i="3"/>
  <c r="E166" i="3" s="1"/>
  <c r="E148" i="3" s="1"/>
  <c r="F170" i="3"/>
  <c r="F166" i="3" s="1"/>
  <c r="F148" i="3" s="1"/>
  <c r="G170" i="3"/>
  <c r="G166" i="3" s="1"/>
  <c r="G148" i="3" s="1"/>
  <c r="H170" i="3"/>
  <c r="H166" i="3" s="1"/>
  <c r="H148" i="3" s="1"/>
  <c r="I170" i="3"/>
  <c r="I166" i="3" s="1"/>
  <c r="J170" i="3"/>
  <c r="J166" i="3" s="1"/>
  <c r="J148" i="3" s="1"/>
  <c r="K170" i="3"/>
  <c r="K166" i="3" s="1"/>
  <c r="K148" i="3" s="1"/>
  <c r="N170" i="3"/>
  <c r="N166" i="3" s="1"/>
  <c r="N148" i="3" s="1"/>
  <c r="O170" i="3"/>
  <c r="O166" i="3" s="1"/>
  <c r="O148" i="3" s="1"/>
  <c r="P170" i="3"/>
  <c r="P166" i="3" s="1"/>
  <c r="P148" i="3" s="1"/>
  <c r="Q170" i="3"/>
  <c r="Q166" i="3" s="1"/>
  <c r="Q148" i="3" s="1"/>
  <c r="R170" i="3"/>
  <c r="R166" i="3" s="1"/>
  <c r="R148" i="3" s="1"/>
  <c r="T170" i="3"/>
  <c r="T166" i="3" s="1"/>
  <c r="T148" i="3" s="1"/>
  <c r="U170" i="3"/>
  <c r="U166" i="3" s="1"/>
  <c r="U148" i="3" s="1"/>
  <c r="V170" i="3"/>
  <c r="V166" i="3" s="1"/>
  <c r="V148" i="3" s="1"/>
  <c r="W170" i="3"/>
  <c r="W166" i="3" s="1"/>
  <c r="W148" i="3" s="1"/>
  <c r="X170" i="3"/>
  <c r="X166" i="3" s="1"/>
  <c r="X148" i="3" s="1"/>
  <c r="E171" i="3"/>
  <c r="E167" i="3" s="1"/>
  <c r="E149" i="3" s="1"/>
  <c r="F171" i="3"/>
  <c r="F167" i="3" s="1"/>
  <c r="F149" i="3" s="1"/>
  <c r="G171" i="3"/>
  <c r="G167" i="3" s="1"/>
  <c r="G149" i="3" s="1"/>
  <c r="H171" i="3"/>
  <c r="H167" i="3" s="1"/>
  <c r="H149" i="3" s="1"/>
  <c r="I171" i="3"/>
  <c r="J171" i="3"/>
  <c r="J167" i="3" s="1"/>
  <c r="J149" i="3" s="1"/>
  <c r="K171" i="3"/>
  <c r="K167" i="3" s="1"/>
  <c r="K149" i="3" s="1"/>
  <c r="N171" i="3"/>
  <c r="N167" i="3" s="1"/>
  <c r="N149" i="3" s="1"/>
  <c r="O171" i="3"/>
  <c r="O167" i="3" s="1"/>
  <c r="O149" i="3" s="1"/>
  <c r="P171" i="3"/>
  <c r="P167" i="3" s="1"/>
  <c r="P149" i="3" s="1"/>
  <c r="Q171" i="3"/>
  <c r="Q167" i="3" s="1"/>
  <c r="Q149" i="3" s="1"/>
  <c r="R171" i="3"/>
  <c r="R167" i="3" s="1"/>
  <c r="R149" i="3" s="1"/>
  <c r="T171" i="3"/>
  <c r="T167" i="3" s="1"/>
  <c r="T149" i="3" s="1"/>
  <c r="U171" i="3"/>
  <c r="U167" i="3" s="1"/>
  <c r="U149" i="3" s="1"/>
  <c r="V171" i="3"/>
  <c r="V167" i="3" s="1"/>
  <c r="V149" i="3" s="1"/>
  <c r="W171" i="3"/>
  <c r="W167" i="3" s="1"/>
  <c r="W149" i="3" s="1"/>
  <c r="X171" i="3"/>
  <c r="X167" i="3" s="1"/>
  <c r="X149" i="3" s="1"/>
  <c r="E172" i="3"/>
  <c r="F172" i="3"/>
  <c r="G172" i="3"/>
  <c r="H172" i="3"/>
  <c r="I172" i="3"/>
  <c r="J172" i="3"/>
  <c r="K172" i="3"/>
  <c r="N172" i="3"/>
  <c r="O172" i="3"/>
  <c r="P172" i="3"/>
  <c r="Q172" i="3"/>
  <c r="R172" i="3"/>
  <c r="T172" i="3"/>
  <c r="U172" i="3"/>
  <c r="V172" i="3"/>
  <c r="W172" i="3"/>
  <c r="X172" i="3"/>
  <c r="E173" i="3"/>
  <c r="F173" i="3"/>
  <c r="G173" i="3"/>
  <c r="H173" i="3"/>
  <c r="I173" i="3"/>
  <c r="J173" i="3"/>
  <c r="K173" i="3"/>
  <c r="N173" i="3"/>
  <c r="O173" i="3"/>
  <c r="P173" i="3"/>
  <c r="Q173" i="3"/>
  <c r="R173" i="3"/>
  <c r="T173" i="3"/>
  <c r="U173" i="3"/>
  <c r="V173" i="3"/>
  <c r="W173" i="3"/>
  <c r="X173" i="3"/>
  <c r="E174" i="3"/>
  <c r="F174" i="3"/>
  <c r="G174" i="3"/>
  <c r="H174" i="3"/>
  <c r="I174" i="3"/>
  <c r="J174" i="3"/>
  <c r="K174" i="3"/>
  <c r="O174" i="3"/>
  <c r="P174" i="3"/>
  <c r="Q174" i="3"/>
  <c r="T174" i="3"/>
  <c r="U174" i="3"/>
  <c r="V174" i="3"/>
  <c r="W174" i="3"/>
  <c r="X174" i="3"/>
  <c r="E175" i="3"/>
  <c r="F175" i="3"/>
  <c r="G175" i="3"/>
  <c r="H175" i="3"/>
  <c r="I175" i="3"/>
  <c r="J175" i="3"/>
  <c r="K175" i="3"/>
  <c r="N175" i="3"/>
  <c r="O175" i="3"/>
  <c r="P175" i="3"/>
  <c r="Q175" i="3"/>
  <c r="R175" i="3"/>
  <c r="T175" i="3"/>
  <c r="U175" i="3"/>
  <c r="V175" i="3"/>
  <c r="W175" i="3"/>
  <c r="X175" i="3"/>
  <c r="E176" i="3"/>
  <c r="F176" i="3"/>
  <c r="G176" i="3"/>
  <c r="H176" i="3"/>
  <c r="I176" i="3"/>
  <c r="J176" i="3"/>
  <c r="K176" i="3"/>
  <c r="N176" i="3"/>
  <c r="P176" i="3"/>
  <c r="Q176" i="3"/>
  <c r="R176" i="3"/>
  <c r="T176" i="3"/>
  <c r="U176" i="3"/>
  <c r="V176" i="3"/>
  <c r="W176" i="3"/>
  <c r="X176" i="3"/>
  <c r="E177" i="3"/>
  <c r="F177" i="3"/>
  <c r="G177" i="3"/>
  <c r="H177" i="3"/>
  <c r="I177" i="3"/>
  <c r="J177" i="3"/>
  <c r="K177" i="3"/>
  <c r="N177" i="3"/>
  <c r="O177" i="3"/>
  <c r="P177" i="3"/>
  <c r="Q177" i="3"/>
  <c r="R177" i="3"/>
  <c r="T177" i="3"/>
  <c r="U177" i="3"/>
  <c r="V177" i="3"/>
  <c r="W177" i="3"/>
  <c r="X177" i="3"/>
  <c r="F182" i="3"/>
  <c r="H182" i="3"/>
  <c r="I182" i="3"/>
  <c r="J182" i="3"/>
  <c r="K182" i="3"/>
  <c r="N182" i="3"/>
  <c r="O182" i="3"/>
  <c r="P182" i="3"/>
  <c r="Q182" i="3"/>
  <c r="R182" i="3"/>
  <c r="T182" i="3"/>
  <c r="U182" i="3"/>
  <c r="V182" i="3"/>
  <c r="W182" i="3"/>
  <c r="X182" i="3"/>
  <c r="G183" i="3"/>
  <c r="H183" i="3"/>
  <c r="I183" i="3"/>
  <c r="J183" i="3"/>
  <c r="K183" i="3"/>
  <c r="N183" i="3"/>
  <c r="O183" i="3"/>
  <c r="P183" i="3"/>
  <c r="Q183" i="3"/>
  <c r="R183" i="3"/>
  <c r="T183" i="3"/>
  <c r="U183" i="3"/>
  <c r="V183" i="3"/>
  <c r="W183" i="3"/>
  <c r="X183" i="3"/>
  <c r="F184" i="3"/>
  <c r="F181" i="3" s="1"/>
  <c r="F179" i="3" s="1"/>
  <c r="G184" i="3"/>
  <c r="G181" i="3" s="1"/>
  <c r="G179" i="3" s="1"/>
  <c r="H184" i="3"/>
  <c r="H181" i="3" s="1"/>
  <c r="H179" i="3" s="1"/>
  <c r="I184" i="3"/>
  <c r="I181" i="3" s="1"/>
  <c r="J184" i="3"/>
  <c r="J181" i="3" s="1"/>
  <c r="J179" i="3" s="1"/>
  <c r="K184" i="3"/>
  <c r="K181" i="3" s="1"/>
  <c r="K179" i="3" s="1"/>
  <c r="N184" i="3"/>
  <c r="N181" i="3" s="1"/>
  <c r="N179" i="3" s="1"/>
  <c r="O184" i="3"/>
  <c r="O181" i="3" s="1"/>
  <c r="O179" i="3" s="1"/>
  <c r="P184" i="3"/>
  <c r="P181" i="3" s="1"/>
  <c r="P179" i="3" s="1"/>
  <c r="Q184" i="3"/>
  <c r="Q181" i="3" s="1"/>
  <c r="Q179" i="3" s="1"/>
  <c r="R184" i="3"/>
  <c r="R181" i="3" s="1"/>
  <c r="R179" i="3" s="1"/>
  <c r="T184" i="3"/>
  <c r="T181" i="3" s="1"/>
  <c r="T179" i="3" s="1"/>
  <c r="U184" i="3"/>
  <c r="U181" i="3" s="1"/>
  <c r="U179" i="3" s="1"/>
  <c r="V184" i="3"/>
  <c r="V181" i="3" s="1"/>
  <c r="V179" i="3" s="1"/>
  <c r="W184" i="3"/>
  <c r="W181" i="3" s="1"/>
  <c r="W179" i="3" s="1"/>
  <c r="X184" i="3"/>
  <c r="X181" i="3" s="1"/>
  <c r="X179" i="3" s="1"/>
  <c r="E186" i="3"/>
  <c r="F186" i="3"/>
  <c r="G186" i="3"/>
  <c r="H186" i="3"/>
  <c r="I186" i="3"/>
  <c r="J186" i="3"/>
  <c r="K186" i="3"/>
  <c r="N186" i="3"/>
  <c r="O186" i="3"/>
  <c r="P186" i="3"/>
  <c r="Q186" i="3"/>
  <c r="R186" i="3"/>
  <c r="T186" i="3"/>
  <c r="U186" i="3"/>
  <c r="V186" i="3"/>
  <c r="W186" i="3"/>
  <c r="X186" i="3"/>
  <c r="F187" i="3"/>
  <c r="H187" i="3"/>
  <c r="I187" i="3"/>
  <c r="J187" i="3"/>
  <c r="K187" i="3"/>
  <c r="N187" i="3"/>
  <c r="O187" i="3"/>
  <c r="P187" i="3"/>
  <c r="Q187" i="3"/>
  <c r="R187" i="3"/>
  <c r="T187" i="3"/>
  <c r="U187" i="3"/>
  <c r="V187" i="3"/>
  <c r="W187" i="3"/>
  <c r="X187" i="3"/>
  <c r="E189" i="3"/>
  <c r="F189" i="3"/>
  <c r="G189" i="3"/>
  <c r="H189" i="3"/>
  <c r="I189" i="3"/>
  <c r="J189" i="3"/>
  <c r="K189" i="3"/>
  <c r="N189" i="3"/>
  <c r="O189" i="3"/>
  <c r="P189" i="3"/>
  <c r="Q189" i="3"/>
  <c r="R189" i="3"/>
  <c r="T189" i="3"/>
  <c r="U189" i="3"/>
  <c r="V189" i="3"/>
  <c r="W189" i="3"/>
  <c r="X189" i="3"/>
  <c r="E190" i="3"/>
  <c r="E188" i="3" s="1"/>
  <c r="F190" i="3"/>
  <c r="G190" i="3"/>
  <c r="H190" i="3"/>
  <c r="I190" i="3"/>
  <c r="J190" i="3"/>
  <c r="K190" i="3"/>
  <c r="N190" i="3"/>
  <c r="P190" i="3"/>
  <c r="Q190" i="3"/>
  <c r="R190" i="3"/>
  <c r="R188" i="3" s="1"/>
  <c r="T190" i="3"/>
  <c r="T188" i="3" s="1"/>
  <c r="U190" i="3"/>
  <c r="V190" i="3"/>
  <c r="W190" i="3"/>
  <c r="X190" i="3"/>
  <c r="E191" i="3"/>
  <c r="F191" i="3"/>
  <c r="G191" i="3"/>
  <c r="H191" i="3"/>
  <c r="I191" i="3"/>
  <c r="J191" i="3"/>
  <c r="K191" i="3"/>
  <c r="N191" i="3"/>
  <c r="O191" i="3"/>
  <c r="P191" i="3"/>
  <c r="Q191" i="3"/>
  <c r="R191" i="3"/>
  <c r="T191" i="3"/>
  <c r="U191" i="3"/>
  <c r="V191" i="3"/>
  <c r="W191" i="3"/>
  <c r="X191" i="3"/>
  <c r="E193" i="3"/>
  <c r="E192" i="3" s="1"/>
  <c r="F193" i="3"/>
  <c r="F192" i="3" s="1"/>
  <c r="G193" i="3"/>
  <c r="G192" i="3" s="1"/>
  <c r="H193" i="3"/>
  <c r="H192" i="3" s="1"/>
  <c r="I193" i="3"/>
  <c r="J193" i="3"/>
  <c r="J192" i="3" s="1"/>
  <c r="K193" i="3"/>
  <c r="K192" i="3" s="1"/>
  <c r="N193" i="3"/>
  <c r="N192" i="3" s="1"/>
  <c r="O193" i="3"/>
  <c r="O192" i="3" s="1"/>
  <c r="P193" i="3"/>
  <c r="P192" i="3" s="1"/>
  <c r="Q193" i="3"/>
  <c r="Q192" i="3" s="1"/>
  <c r="R193" i="3"/>
  <c r="R192" i="3" s="1"/>
  <c r="T193" i="3"/>
  <c r="T192" i="3" s="1"/>
  <c r="U193" i="3"/>
  <c r="U192" i="3" s="1"/>
  <c r="V193" i="3"/>
  <c r="V192" i="3" s="1"/>
  <c r="W193" i="3"/>
  <c r="W192" i="3" s="1"/>
  <c r="X193" i="3"/>
  <c r="X192" i="3" s="1"/>
  <c r="F196" i="3"/>
  <c r="F195" i="3" s="1"/>
  <c r="G196" i="3"/>
  <c r="G195" i="3" s="1"/>
  <c r="H196" i="3"/>
  <c r="H195" i="3" s="1"/>
  <c r="I196" i="3"/>
  <c r="I195" i="3" s="1"/>
  <c r="J196" i="3"/>
  <c r="J195" i="3" s="1"/>
  <c r="K196" i="3"/>
  <c r="K195" i="3" s="1"/>
  <c r="N196" i="3"/>
  <c r="N195" i="3" s="1"/>
  <c r="O196" i="3"/>
  <c r="O195" i="3" s="1"/>
  <c r="P196" i="3"/>
  <c r="P195" i="3" s="1"/>
  <c r="Q196" i="3"/>
  <c r="Q195" i="3" s="1"/>
  <c r="R196" i="3"/>
  <c r="R195" i="3" s="1"/>
  <c r="T196" i="3"/>
  <c r="T195" i="3" s="1"/>
  <c r="U196" i="3"/>
  <c r="U195" i="3" s="1"/>
  <c r="V196" i="3"/>
  <c r="V195" i="3" s="1"/>
  <c r="W196" i="3"/>
  <c r="W195" i="3" s="1"/>
  <c r="X196" i="3"/>
  <c r="X195" i="3" s="1"/>
  <c r="F197" i="3"/>
  <c r="G197" i="3"/>
  <c r="H197" i="3"/>
  <c r="I197" i="3"/>
  <c r="J197" i="3"/>
  <c r="K197" i="3"/>
  <c r="O197" i="3"/>
  <c r="P197" i="3"/>
  <c r="Q197" i="3"/>
  <c r="T197" i="3"/>
  <c r="U197" i="3"/>
  <c r="V197" i="3"/>
  <c r="W197" i="3"/>
  <c r="X197" i="3"/>
  <c r="G200" i="3"/>
  <c r="N200" i="3"/>
  <c r="P200" i="3"/>
  <c r="Q269" i="1" s="1"/>
  <c r="V200" i="3"/>
  <c r="G242" i="1"/>
  <c r="G241" i="1" s="1"/>
  <c r="H242" i="1"/>
  <c r="H241" i="1" s="1"/>
  <c r="I242" i="1"/>
  <c r="I241" i="1" s="1"/>
  <c r="J242" i="1"/>
  <c r="J241" i="1" s="1"/>
  <c r="K242" i="1"/>
  <c r="K241" i="1" s="1"/>
  <c r="L242" i="1"/>
  <c r="L241" i="1" s="1"/>
  <c r="O242" i="1"/>
  <c r="O241" i="1" s="1"/>
  <c r="P242" i="1"/>
  <c r="P241" i="1" s="1"/>
  <c r="Q242" i="1"/>
  <c r="Q241" i="1" s="1"/>
  <c r="R242" i="1"/>
  <c r="R241" i="1" s="1"/>
  <c r="S242" i="1"/>
  <c r="S241" i="1" s="1"/>
  <c r="U242" i="1"/>
  <c r="U241" i="1" s="1"/>
  <c r="V242" i="1"/>
  <c r="V241" i="1" s="1"/>
  <c r="W242" i="1"/>
  <c r="W241" i="1" s="1"/>
  <c r="X242" i="1"/>
  <c r="X241" i="1" s="1"/>
  <c r="Y242" i="1"/>
  <c r="Y241" i="1" s="1"/>
  <c r="H233" i="1"/>
  <c r="H232" i="1" s="1"/>
  <c r="I233" i="1"/>
  <c r="I232" i="1" s="1"/>
  <c r="J233" i="1"/>
  <c r="J232" i="1" s="1"/>
  <c r="K233" i="1"/>
  <c r="K232" i="1" s="1"/>
  <c r="L233" i="1"/>
  <c r="L232" i="1" s="1"/>
  <c r="O233" i="1"/>
  <c r="O232" i="1" s="1"/>
  <c r="Q233" i="1"/>
  <c r="Q232" i="1" s="1"/>
  <c r="R233" i="1"/>
  <c r="R232" i="1" s="1"/>
  <c r="S233" i="1"/>
  <c r="S232" i="1" s="1"/>
  <c r="U233" i="1"/>
  <c r="U232" i="1" s="1"/>
  <c r="V233" i="1"/>
  <c r="V232" i="1" s="1"/>
  <c r="W233" i="1"/>
  <c r="W232" i="1" s="1"/>
  <c r="X233" i="1"/>
  <c r="X232" i="1" s="1"/>
  <c r="Y233" i="1"/>
  <c r="Y232" i="1" s="1"/>
  <c r="H224" i="1"/>
  <c r="H223" i="1" s="1"/>
  <c r="I224" i="1"/>
  <c r="I223" i="1" s="1"/>
  <c r="J224" i="1"/>
  <c r="J223" i="1" s="1"/>
  <c r="K224" i="1"/>
  <c r="K223" i="1" s="1"/>
  <c r="L224" i="1"/>
  <c r="L223" i="1" s="1"/>
  <c r="O224" i="1"/>
  <c r="O223" i="1" s="1"/>
  <c r="P224" i="1"/>
  <c r="P223" i="1" s="1"/>
  <c r="Q224" i="1"/>
  <c r="Q223" i="1" s="1"/>
  <c r="R224" i="1"/>
  <c r="R223" i="1" s="1"/>
  <c r="S224" i="1"/>
  <c r="S223" i="1" s="1"/>
  <c r="U224" i="1"/>
  <c r="U223" i="1" s="1"/>
  <c r="V224" i="1"/>
  <c r="V223" i="1" s="1"/>
  <c r="W224" i="1"/>
  <c r="W223" i="1" s="1"/>
  <c r="X224" i="1"/>
  <c r="X223" i="1" s="1"/>
  <c r="Y224" i="1"/>
  <c r="Y223" i="1" s="1"/>
  <c r="X219" i="1"/>
  <c r="F220" i="1"/>
  <c r="F219" i="1" s="1"/>
  <c r="G220" i="1"/>
  <c r="G219" i="1" s="1"/>
  <c r="H220" i="1"/>
  <c r="H219" i="1" s="1"/>
  <c r="I220" i="1"/>
  <c r="I219" i="1" s="1"/>
  <c r="J220" i="1"/>
  <c r="J219" i="1" s="1"/>
  <c r="K220" i="1"/>
  <c r="K219" i="1" s="1"/>
  <c r="L220" i="1"/>
  <c r="L219" i="1" s="1"/>
  <c r="O220" i="1"/>
  <c r="O219" i="1" s="1"/>
  <c r="P220" i="1"/>
  <c r="P219" i="1" s="1"/>
  <c r="Q220" i="1"/>
  <c r="Q219" i="1" s="1"/>
  <c r="R220" i="1"/>
  <c r="R219" i="1" s="1"/>
  <c r="S220" i="1"/>
  <c r="S219" i="1" s="1"/>
  <c r="U220" i="1"/>
  <c r="U219" i="1" s="1"/>
  <c r="V220" i="1"/>
  <c r="V219" i="1" s="1"/>
  <c r="W220" i="1"/>
  <c r="W219" i="1" s="1"/>
  <c r="X220" i="1"/>
  <c r="Y220" i="1"/>
  <c r="Y219" i="1" s="1"/>
  <c r="F216" i="1"/>
  <c r="F215" i="1" s="1"/>
  <c r="G216" i="1"/>
  <c r="G215" i="1" s="1"/>
  <c r="H216" i="1"/>
  <c r="H215" i="1" s="1"/>
  <c r="I216" i="1"/>
  <c r="I215" i="1" s="1"/>
  <c r="J216" i="1"/>
  <c r="J215" i="1" s="1"/>
  <c r="K216" i="1"/>
  <c r="K215" i="1" s="1"/>
  <c r="L216" i="1"/>
  <c r="L215" i="1" s="1"/>
  <c r="P216" i="1"/>
  <c r="P215" i="1" s="1"/>
  <c r="Q216" i="1"/>
  <c r="Q215" i="1" s="1"/>
  <c r="R216" i="1"/>
  <c r="R215" i="1" s="1"/>
  <c r="U216" i="1"/>
  <c r="U215" i="1" s="1"/>
  <c r="V216" i="1"/>
  <c r="V215" i="1" s="1"/>
  <c r="W216" i="1"/>
  <c r="W215" i="1" s="1"/>
  <c r="X216" i="1"/>
  <c r="X215" i="1" s="1"/>
  <c r="Y216" i="1"/>
  <c r="Y215" i="1" s="1"/>
  <c r="H213" i="1"/>
  <c r="H212" i="1" s="1"/>
  <c r="I213" i="1"/>
  <c r="I212" i="1" s="1"/>
  <c r="J213" i="1"/>
  <c r="J212" i="1" s="1"/>
  <c r="K213" i="1"/>
  <c r="K212" i="1" s="1"/>
  <c r="L213" i="1"/>
  <c r="L212" i="1" s="1"/>
  <c r="O213" i="1"/>
  <c r="O212" i="1" s="1"/>
  <c r="P213" i="1"/>
  <c r="P212" i="1" s="1"/>
  <c r="Q213" i="1"/>
  <c r="Q212" i="1" s="1"/>
  <c r="R213" i="1"/>
  <c r="R212" i="1" s="1"/>
  <c r="S213" i="1"/>
  <c r="S212" i="1" s="1"/>
  <c r="U213" i="1"/>
  <c r="U212" i="1" s="1"/>
  <c r="V213" i="1"/>
  <c r="V212" i="1" s="1"/>
  <c r="W213" i="1"/>
  <c r="W212" i="1" s="1"/>
  <c r="X213" i="1"/>
  <c r="X212" i="1" s="1"/>
  <c r="Y213" i="1"/>
  <c r="Y212" i="1" s="1"/>
  <c r="F196" i="1"/>
  <c r="F195" i="1" s="1"/>
  <c r="G196" i="1"/>
  <c r="G195" i="1" s="1"/>
  <c r="H196" i="1"/>
  <c r="H195" i="1" s="1"/>
  <c r="I196" i="1"/>
  <c r="I195" i="1" s="1"/>
  <c r="J196" i="1"/>
  <c r="J195" i="1" s="1"/>
  <c r="K196" i="1"/>
  <c r="K195" i="1" s="1"/>
  <c r="L196" i="1"/>
  <c r="L195" i="1" s="1"/>
  <c r="P196" i="1"/>
  <c r="P195" i="1" s="1"/>
  <c r="Q196" i="1"/>
  <c r="Q195" i="1" s="1"/>
  <c r="R196" i="1"/>
  <c r="R195" i="1" s="1"/>
  <c r="U196" i="1"/>
  <c r="U195" i="1" s="1"/>
  <c r="V196" i="1"/>
  <c r="V195" i="1" s="1"/>
  <c r="W196" i="1"/>
  <c r="W195" i="1" s="1"/>
  <c r="X196" i="1"/>
  <c r="X195" i="1" s="1"/>
  <c r="Y196" i="1"/>
  <c r="Y195" i="1" s="1"/>
  <c r="F197" i="1"/>
  <c r="G197" i="1"/>
  <c r="H197" i="1"/>
  <c r="I197" i="1"/>
  <c r="J197" i="1"/>
  <c r="K197" i="1"/>
  <c r="L197" i="1"/>
  <c r="P197" i="1"/>
  <c r="Q197" i="1"/>
  <c r="R197" i="1"/>
  <c r="U197" i="1"/>
  <c r="V197" i="1"/>
  <c r="W197" i="1"/>
  <c r="X197" i="1"/>
  <c r="Y197" i="1"/>
  <c r="F198" i="1"/>
  <c r="G198" i="1"/>
  <c r="H198" i="1"/>
  <c r="I198" i="1"/>
  <c r="J198" i="1"/>
  <c r="K198" i="1"/>
  <c r="L198" i="1"/>
  <c r="O198" i="1"/>
  <c r="P198" i="1"/>
  <c r="Q198" i="1"/>
  <c r="R198" i="1"/>
  <c r="S198" i="1"/>
  <c r="U198" i="1"/>
  <c r="V198" i="1"/>
  <c r="V249" i="1" s="1"/>
  <c r="W198" i="1"/>
  <c r="X198" i="1"/>
  <c r="Y198" i="1"/>
  <c r="F199" i="1"/>
  <c r="G199" i="1"/>
  <c r="H199" i="1"/>
  <c r="I199" i="1"/>
  <c r="J199" i="1"/>
  <c r="K199" i="1"/>
  <c r="L199" i="1"/>
  <c r="O199" i="1"/>
  <c r="P199" i="1"/>
  <c r="Q199" i="1"/>
  <c r="R199" i="1"/>
  <c r="S199" i="1"/>
  <c r="U199" i="1"/>
  <c r="V199" i="1"/>
  <c r="W199" i="1"/>
  <c r="X199" i="1"/>
  <c r="Y199" i="1"/>
  <c r="J165" i="1"/>
  <c r="J164" i="1" s="1"/>
  <c r="K165" i="1"/>
  <c r="K164" i="1" s="1"/>
  <c r="L165" i="1"/>
  <c r="L164" i="1" s="1"/>
  <c r="Q165" i="1"/>
  <c r="Q164" i="1" s="1"/>
  <c r="R165" i="1"/>
  <c r="R164" i="1" s="1"/>
  <c r="U165" i="1"/>
  <c r="U164" i="1" s="1"/>
  <c r="V165" i="1"/>
  <c r="V164" i="1" s="1"/>
  <c r="W165" i="1"/>
  <c r="W164" i="1" s="1"/>
  <c r="X165" i="1"/>
  <c r="X164" i="1" s="1"/>
  <c r="Y165" i="1"/>
  <c r="Y164" i="1" s="1"/>
  <c r="F166" i="1"/>
  <c r="G166" i="1"/>
  <c r="H166" i="1"/>
  <c r="I166" i="1"/>
  <c r="J166" i="1"/>
  <c r="K166" i="1"/>
  <c r="L166" i="1"/>
  <c r="O166" i="1"/>
  <c r="P166" i="1"/>
  <c r="Q166" i="1"/>
  <c r="R166" i="1"/>
  <c r="S166" i="1"/>
  <c r="U166" i="1"/>
  <c r="V166" i="1"/>
  <c r="W166" i="1"/>
  <c r="X166" i="1"/>
  <c r="Y166" i="1"/>
  <c r="F167" i="1"/>
  <c r="G167" i="1"/>
  <c r="H167" i="1"/>
  <c r="I167" i="1"/>
  <c r="J167" i="1"/>
  <c r="K167" i="1"/>
  <c r="L167" i="1"/>
  <c r="O167" i="1"/>
  <c r="P167" i="1"/>
  <c r="Q167" i="1"/>
  <c r="R167" i="1"/>
  <c r="S167" i="1"/>
  <c r="U167" i="1"/>
  <c r="V167" i="1"/>
  <c r="W167" i="1"/>
  <c r="X167" i="1"/>
  <c r="Y167" i="1"/>
  <c r="H156" i="1"/>
  <c r="H155" i="1" s="1"/>
  <c r="I156" i="1"/>
  <c r="I155" i="1" s="1"/>
  <c r="J156" i="1"/>
  <c r="J155" i="1" s="1"/>
  <c r="K156" i="1"/>
  <c r="K155" i="1" s="1"/>
  <c r="L156" i="1"/>
  <c r="L155" i="1" s="1"/>
  <c r="P156" i="1"/>
  <c r="P155" i="1" s="1"/>
  <c r="Q156" i="1"/>
  <c r="Q155" i="1" s="1"/>
  <c r="R156" i="1"/>
  <c r="R155" i="1" s="1"/>
  <c r="U156" i="1"/>
  <c r="U155" i="1" s="1"/>
  <c r="V156" i="1"/>
  <c r="V155" i="1" s="1"/>
  <c r="W156" i="1"/>
  <c r="W155" i="1" s="1"/>
  <c r="X156" i="1"/>
  <c r="X155" i="1" s="1"/>
  <c r="Y156" i="1"/>
  <c r="Y155" i="1" s="1"/>
  <c r="H150" i="1"/>
  <c r="H149" i="1" s="1"/>
  <c r="I150" i="1"/>
  <c r="I149" i="1" s="1"/>
  <c r="J150" i="1"/>
  <c r="J149" i="1" s="1"/>
  <c r="K150" i="1"/>
  <c r="K149" i="1" s="1"/>
  <c r="L150" i="1"/>
  <c r="L149" i="1" s="1"/>
  <c r="P150" i="1"/>
  <c r="P149" i="1" s="1"/>
  <c r="Q150" i="1"/>
  <c r="Q149" i="1" s="1"/>
  <c r="R150" i="1"/>
  <c r="R149" i="1" s="1"/>
  <c r="U150" i="1"/>
  <c r="U149" i="1" s="1"/>
  <c r="V150" i="1"/>
  <c r="V149" i="1" s="1"/>
  <c r="W150" i="1"/>
  <c r="W149" i="1" s="1"/>
  <c r="X150" i="1"/>
  <c r="X149" i="1" s="1"/>
  <c r="Y150" i="1"/>
  <c r="Y149" i="1" s="1"/>
  <c r="I116" i="1"/>
  <c r="I115" i="1" s="1"/>
  <c r="J116" i="1"/>
  <c r="J115" i="1" s="1"/>
  <c r="K116" i="1"/>
  <c r="K115" i="1" s="1"/>
  <c r="L116" i="1"/>
  <c r="L115" i="1" s="1"/>
  <c r="O116" i="1"/>
  <c r="O115" i="1" s="1"/>
  <c r="P116" i="1"/>
  <c r="P115" i="1" s="1"/>
  <c r="Q116" i="1"/>
  <c r="Q115" i="1" s="1"/>
  <c r="R116" i="1"/>
  <c r="R115" i="1" s="1"/>
  <c r="S116" i="1"/>
  <c r="S115" i="1" s="1"/>
  <c r="U116" i="1"/>
  <c r="U115" i="1" s="1"/>
  <c r="V116" i="1"/>
  <c r="V115" i="1" s="1"/>
  <c r="W116" i="1"/>
  <c r="W115" i="1" s="1"/>
  <c r="X116" i="1"/>
  <c r="X115" i="1" s="1"/>
  <c r="Y116" i="1"/>
  <c r="Y115" i="1" s="1"/>
  <c r="G117" i="1"/>
  <c r="H117" i="1"/>
  <c r="I117" i="1"/>
  <c r="J117" i="1"/>
  <c r="K117" i="1"/>
  <c r="L117" i="1"/>
  <c r="O117" i="1"/>
  <c r="P117" i="1"/>
  <c r="Q117" i="1"/>
  <c r="R117" i="1"/>
  <c r="S117" i="1"/>
  <c r="U117" i="1"/>
  <c r="V117" i="1"/>
  <c r="W117" i="1"/>
  <c r="X117" i="1"/>
  <c r="Y117" i="1"/>
  <c r="F118" i="1"/>
  <c r="F246" i="1" s="1"/>
  <c r="G118" i="1"/>
  <c r="G246" i="1" s="1"/>
  <c r="H118" i="1"/>
  <c r="I118" i="1"/>
  <c r="I246" i="1" s="1"/>
  <c r="J118" i="1"/>
  <c r="J246" i="1" s="1"/>
  <c r="K118" i="1"/>
  <c r="K246" i="1" s="1"/>
  <c r="L118" i="1"/>
  <c r="L246" i="1" s="1"/>
  <c r="O118" i="1"/>
  <c r="O246" i="1" s="1"/>
  <c r="P118" i="1"/>
  <c r="P246" i="1" s="1"/>
  <c r="Q118" i="1"/>
  <c r="Q246" i="1" s="1"/>
  <c r="R118" i="1"/>
  <c r="R246" i="1" s="1"/>
  <c r="S118" i="1"/>
  <c r="S246" i="1" s="1"/>
  <c r="U118" i="1"/>
  <c r="V118" i="1"/>
  <c r="V246" i="1" s="1"/>
  <c r="W118" i="1"/>
  <c r="W246" i="1" s="1"/>
  <c r="X118" i="1"/>
  <c r="X246" i="1" s="1"/>
  <c r="Y118" i="1"/>
  <c r="Y246" i="1" s="1"/>
  <c r="F119" i="1"/>
  <c r="G119" i="1"/>
  <c r="H119" i="1"/>
  <c r="I119" i="1"/>
  <c r="J119" i="1"/>
  <c r="K119" i="1"/>
  <c r="L119" i="1"/>
  <c r="O119" i="1"/>
  <c r="P119" i="1"/>
  <c r="Q119" i="1"/>
  <c r="R119" i="1"/>
  <c r="S119" i="1"/>
  <c r="U119" i="1"/>
  <c r="V119" i="1"/>
  <c r="W119" i="1"/>
  <c r="X119" i="1"/>
  <c r="Y119" i="1"/>
  <c r="F120" i="1"/>
  <c r="G120" i="1"/>
  <c r="H120" i="1"/>
  <c r="I120" i="1"/>
  <c r="J120" i="1"/>
  <c r="K120" i="1"/>
  <c r="L120" i="1"/>
  <c r="O120" i="1"/>
  <c r="P120" i="1"/>
  <c r="Q120" i="1"/>
  <c r="R120" i="1"/>
  <c r="S120" i="1"/>
  <c r="U120" i="1"/>
  <c r="V120" i="1"/>
  <c r="W120" i="1"/>
  <c r="X120" i="1"/>
  <c r="Y120" i="1"/>
  <c r="G105" i="1"/>
  <c r="G104" i="1" s="1"/>
  <c r="H105" i="1"/>
  <c r="H104" i="1" s="1"/>
  <c r="I105" i="1"/>
  <c r="I104" i="1" s="1"/>
  <c r="J105" i="1"/>
  <c r="J104" i="1" s="1"/>
  <c r="K105" i="1"/>
  <c r="K104" i="1" s="1"/>
  <c r="L105" i="1"/>
  <c r="L104" i="1" s="1"/>
  <c r="P105" i="1"/>
  <c r="P104" i="1" s="1"/>
  <c r="Q105" i="1"/>
  <c r="Q104" i="1" s="1"/>
  <c r="R105" i="1"/>
  <c r="R104" i="1" s="1"/>
  <c r="U105" i="1"/>
  <c r="U104" i="1" s="1"/>
  <c r="V105" i="1"/>
  <c r="V104" i="1" s="1"/>
  <c r="W105" i="1"/>
  <c r="W104" i="1" s="1"/>
  <c r="X105" i="1"/>
  <c r="X104" i="1" s="1"/>
  <c r="Y105" i="1"/>
  <c r="Y104" i="1" s="1"/>
  <c r="J47" i="1"/>
  <c r="J46" i="1" s="1"/>
  <c r="K47" i="1"/>
  <c r="K46" i="1" s="1"/>
  <c r="L47" i="1"/>
  <c r="L46" i="1" s="1"/>
  <c r="U47" i="1"/>
  <c r="U46" i="1" s="1"/>
  <c r="V47" i="1"/>
  <c r="V46" i="1" s="1"/>
  <c r="W47" i="1"/>
  <c r="W46" i="1" s="1"/>
  <c r="X47" i="1"/>
  <c r="X46" i="1" s="1"/>
  <c r="Y47" i="1"/>
  <c r="Y46" i="1" s="1"/>
  <c r="F48" i="1"/>
  <c r="G48" i="1"/>
  <c r="H48" i="1"/>
  <c r="I48" i="1"/>
  <c r="J48" i="1"/>
  <c r="K48" i="1"/>
  <c r="L48" i="1"/>
  <c r="O48" i="1"/>
  <c r="P48" i="1"/>
  <c r="Q48" i="1"/>
  <c r="R48" i="1"/>
  <c r="S48" i="1"/>
  <c r="U48" i="1"/>
  <c r="V48" i="1"/>
  <c r="W48" i="1"/>
  <c r="X48" i="1"/>
  <c r="Y48" i="1"/>
  <c r="F49" i="1"/>
  <c r="G49" i="1"/>
  <c r="H49" i="1"/>
  <c r="I49" i="1"/>
  <c r="J49" i="1"/>
  <c r="K49" i="1"/>
  <c r="L49" i="1"/>
  <c r="P49" i="1"/>
  <c r="Q49" i="1"/>
  <c r="R49" i="1"/>
  <c r="U49" i="1"/>
  <c r="V49" i="1"/>
  <c r="W49" i="1"/>
  <c r="X49" i="1"/>
  <c r="Y49" i="1"/>
  <c r="F50" i="1"/>
  <c r="G50" i="1"/>
  <c r="H50" i="1"/>
  <c r="I50" i="1"/>
  <c r="J50" i="1"/>
  <c r="K50" i="1"/>
  <c r="L50" i="1"/>
  <c r="O50" i="1"/>
  <c r="P50" i="1"/>
  <c r="Q50" i="1"/>
  <c r="R50" i="1"/>
  <c r="S50" i="1"/>
  <c r="U50" i="1"/>
  <c r="V50" i="1"/>
  <c r="W50" i="1"/>
  <c r="X50" i="1"/>
  <c r="Y50" i="1"/>
  <c r="F51" i="1"/>
  <c r="G51" i="1"/>
  <c r="H51" i="1"/>
  <c r="I51" i="1"/>
  <c r="J51" i="1"/>
  <c r="K51" i="1"/>
  <c r="L51" i="1"/>
  <c r="O51" i="1"/>
  <c r="P51" i="1"/>
  <c r="Q51" i="1"/>
  <c r="R51" i="1"/>
  <c r="S51" i="1"/>
  <c r="U51" i="1"/>
  <c r="V51" i="1"/>
  <c r="W51" i="1"/>
  <c r="X51" i="1"/>
  <c r="Y51" i="1"/>
  <c r="F52" i="1"/>
  <c r="G52" i="1"/>
  <c r="H52" i="1"/>
  <c r="I52" i="1"/>
  <c r="J52" i="1"/>
  <c r="K52" i="1"/>
  <c r="L52" i="1"/>
  <c r="O52" i="1"/>
  <c r="P52" i="1"/>
  <c r="Q52" i="1"/>
  <c r="R52" i="1"/>
  <c r="S52" i="1"/>
  <c r="U52" i="1"/>
  <c r="V52" i="1"/>
  <c r="W52" i="1"/>
  <c r="X52" i="1"/>
  <c r="Y52" i="1"/>
  <c r="F53" i="1"/>
  <c r="G53" i="1"/>
  <c r="H53" i="1"/>
  <c r="I53" i="1"/>
  <c r="J53" i="1"/>
  <c r="K53" i="1"/>
  <c r="L53" i="1"/>
  <c r="O53" i="1"/>
  <c r="P53" i="1"/>
  <c r="Q53" i="1"/>
  <c r="R53" i="1"/>
  <c r="S53" i="1"/>
  <c r="U53" i="1"/>
  <c r="V53" i="1"/>
  <c r="W53" i="1"/>
  <c r="X53" i="1"/>
  <c r="Y53" i="1"/>
  <c r="F54" i="1"/>
  <c r="G54" i="1"/>
  <c r="H54" i="1"/>
  <c r="I54" i="1"/>
  <c r="J54" i="1"/>
  <c r="K54" i="1"/>
  <c r="L54" i="1"/>
  <c r="O54" i="1"/>
  <c r="P54" i="1"/>
  <c r="Q54" i="1"/>
  <c r="R54" i="1"/>
  <c r="S54" i="1"/>
  <c r="U54" i="1"/>
  <c r="V54" i="1"/>
  <c r="W54" i="1"/>
  <c r="X54" i="1"/>
  <c r="Y54" i="1"/>
  <c r="F55" i="1"/>
  <c r="G55" i="1"/>
  <c r="H55" i="1"/>
  <c r="I55" i="1"/>
  <c r="J55" i="1"/>
  <c r="K55" i="1"/>
  <c r="L55" i="1"/>
  <c r="O55" i="1"/>
  <c r="P55" i="1"/>
  <c r="Q55" i="1"/>
  <c r="R55" i="1"/>
  <c r="S55" i="1"/>
  <c r="U55" i="1"/>
  <c r="V55" i="1"/>
  <c r="W55" i="1"/>
  <c r="X55" i="1"/>
  <c r="Y55" i="1"/>
  <c r="F56" i="1"/>
  <c r="G56" i="1"/>
  <c r="H56" i="1"/>
  <c r="I56" i="1"/>
  <c r="J56" i="1"/>
  <c r="J247" i="1" s="1"/>
  <c r="K56" i="1"/>
  <c r="L56" i="1"/>
  <c r="L247" i="1" s="1"/>
  <c r="O56" i="1"/>
  <c r="P56" i="1"/>
  <c r="Q56" i="1"/>
  <c r="R56" i="1"/>
  <c r="R247" i="1" s="1"/>
  <c r="S56" i="1"/>
  <c r="U56" i="1"/>
  <c r="V56" i="1"/>
  <c r="W56" i="1"/>
  <c r="X56" i="1"/>
  <c r="Y56" i="1"/>
  <c r="F57" i="1"/>
  <c r="G57" i="1"/>
  <c r="H57" i="1"/>
  <c r="I57" i="1"/>
  <c r="J57" i="1"/>
  <c r="K57" i="1"/>
  <c r="L57" i="1"/>
  <c r="O57" i="1"/>
  <c r="P57" i="1"/>
  <c r="Q57" i="1"/>
  <c r="R57" i="1"/>
  <c r="S57" i="1"/>
  <c r="U57" i="1"/>
  <c r="V57" i="1"/>
  <c r="W57" i="1"/>
  <c r="X57" i="1"/>
  <c r="Y57" i="1"/>
  <c r="I19" i="1"/>
  <c r="I18" i="1" s="1"/>
  <c r="J19" i="1"/>
  <c r="J18" i="1" s="1"/>
  <c r="K19" i="1"/>
  <c r="K18" i="1" s="1"/>
  <c r="L19" i="1"/>
  <c r="L18" i="1" s="1"/>
  <c r="Q19" i="1"/>
  <c r="Q18" i="1" s="1"/>
  <c r="R19" i="1"/>
  <c r="R18" i="1" s="1"/>
  <c r="U19" i="1"/>
  <c r="U18" i="1" s="1"/>
  <c r="V19" i="1"/>
  <c r="V18" i="1" s="1"/>
  <c r="W19" i="1"/>
  <c r="W18" i="1" s="1"/>
  <c r="X19" i="1"/>
  <c r="X18" i="1" s="1"/>
  <c r="Y19" i="1"/>
  <c r="Y18" i="1" s="1"/>
  <c r="G20" i="1"/>
  <c r="H20" i="1"/>
  <c r="I20" i="1"/>
  <c r="J20" i="1"/>
  <c r="K20" i="1"/>
  <c r="L20" i="1"/>
  <c r="O20" i="1"/>
  <c r="P20" i="1"/>
  <c r="Q20" i="1"/>
  <c r="R20" i="1"/>
  <c r="S20" i="1"/>
  <c r="U20" i="1"/>
  <c r="V20" i="1"/>
  <c r="W20" i="1"/>
  <c r="X20" i="1"/>
  <c r="Y20" i="1"/>
  <c r="AA87" i="1"/>
  <c r="Z61" i="3" s="1"/>
  <c r="AA99" i="1"/>
  <c r="T21" i="1"/>
  <c r="T22" i="1"/>
  <c r="AA22" i="1" s="1"/>
  <c r="T23" i="1"/>
  <c r="AA23" i="1" s="1"/>
  <c r="T24" i="1"/>
  <c r="AA24" i="1" s="1"/>
  <c r="T25" i="1"/>
  <c r="T26" i="1"/>
  <c r="T27" i="1"/>
  <c r="T28" i="1"/>
  <c r="T29" i="1"/>
  <c r="T30" i="1"/>
  <c r="T31" i="1"/>
  <c r="T32" i="1"/>
  <c r="T33" i="1"/>
  <c r="T34" i="1"/>
  <c r="AA34" i="1" s="1"/>
  <c r="Z132" i="3" s="1"/>
  <c r="T35" i="1"/>
  <c r="T36" i="1"/>
  <c r="AA36" i="1" s="1"/>
  <c r="Z175" i="3" s="1"/>
  <c r="T37" i="1"/>
  <c r="T38" i="1"/>
  <c r="AA38" i="1" s="1"/>
  <c r="T39" i="1"/>
  <c r="AA39" i="1" s="1"/>
  <c r="T40" i="1"/>
  <c r="T41" i="1"/>
  <c r="T20" i="1" s="1"/>
  <c r="T42" i="1"/>
  <c r="AA42" i="1" s="1"/>
  <c r="Z186" i="3" s="1"/>
  <c r="T43" i="1"/>
  <c r="T44" i="1"/>
  <c r="T45" i="1"/>
  <c r="AA45" i="1" s="1"/>
  <c r="Z197" i="3" s="1"/>
  <c r="T58" i="1"/>
  <c r="AA58" i="1" s="1"/>
  <c r="T59" i="1"/>
  <c r="T60" i="1"/>
  <c r="T61" i="1"/>
  <c r="T62" i="1"/>
  <c r="T63" i="1"/>
  <c r="AA63" i="1" s="1"/>
  <c r="Z36" i="3" s="1"/>
  <c r="T64" i="1"/>
  <c r="T65" i="1"/>
  <c r="T66" i="1"/>
  <c r="T67" i="1"/>
  <c r="T68" i="1"/>
  <c r="T69" i="1"/>
  <c r="S42" i="3" s="1"/>
  <c r="T70" i="1"/>
  <c r="T71" i="1"/>
  <c r="T72" i="1"/>
  <c r="T73" i="1"/>
  <c r="T57" i="1" s="1"/>
  <c r="T74" i="1"/>
  <c r="T75" i="1"/>
  <c r="T76" i="1"/>
  <c r="T77" i="1"/>
  <c r="T78" i="1"/>
  <c r="T79" i="1"/>
  <c r="T80" i="1"/>
  <c r="T81" i="1"/>
  <c r="T82" i="1"/>
  <c r="AA82" i="1" s="1"/>
  <c r="Z56" i="3" s="1"/>
  <c r="T83" i="1"/>
  <c r="T84" i="1"/>
  <c r="T85" i="1"/>
  <c r="T86" i="1"/>
  <c r="T87" i="1"/>
  <c r="T88" i="1"/>
  <c r="T89" i="1"/>
  <c r="T90" i="1"/>
  <c r="AA90" i="1" s="1"/>
  <c r="T91" i="1"/>
  <c r="T92" i="1"/>
  <c r="T93" i="1"/>
  <c r="T94" i="1"/>
  <c r="T95" i="1"/>
  <c r="T55" i="1"/>
  <c r="T98" i="1"/>
  <c r="T99" i="1"/>
  <c r="T100" i="1"/>
  <c r="AA100" i="1" s="1"/>
  <c r="T101" i="1"/>
  <c r="T102" i="1"/>
  <c r="AA102" i="1" s="1"/>
  <c r="T103" i="1"/>
  <c r="T106" i="1"/>
  <c r="AA106" i="1" s="1"/>
  <c r="T107" i="1"/>
  <c r="AA107" i="1" s="1"/>
  <c r="Z77" i="3" s="1"/>
  <c r="T108" i="1"/>
  <c r="T109" i="1"/>
  <c r="T110" i="1"/>
  <c r="T111" i="1"/>
  <c r="T112" i="1"/>
  <c r="T113" i="1"/>
  <c r="AA113" i="1" s="1"/>
  <c r="T114" i="1"/>
  <c r="AA114" i="1" s="1"/>
  <c r="T121" i="1"/>
  <c r="AA121" i="1" s="1"/>
  <c r="T122" i="1"/>
  <c r="T123" i="1"/>
  <c r="AA123" i="1" s="1"/>
  <c r="Z90" i="3" s="1"/>
  <c r="T124" i="1"/>
  <c r="T125" i="1"/>
  <c r="T126" i="1"/>
  <c r="T127" i="1"/>
  <c r="T128" i="1"/>
  <c r="T129" i="1"/>
  <c r="AA129" i="1" s="1"/>
  <c r="Z96" i="3" s="1"/>
  <c r="T130" i="1"/>
  <c r="T131" i="1"/>
  <c r="T132" i="1"/>
  <c r="T133" i="1"/>
  <c r="T134" i="1"/>
  <c r="T135" i="1"/>
  <c r="AA135" i="1" s="1"/>
  <c r="Z107" i="3" s="1"/>
  <c r="T136" i="1"/>
  <c r="T137" i="1"/>
  <c r="T138" i="1"/>
  <c r="T139" i="1"/>
  <c r="T140" i="1"/>
  <c r="T141" i="1"/>
  <c r="AA141" i="1" s="1"/>
  <c r="T142" i="1"/>
  <c r="T143" i="1"/>
  <c r="T144" i="1"/>
  <c r="AA144" i="1" s="1"/>
  <c r="T145" i="1"/>
  <c r="T146" i="1"/>
  <c r="T147" i="1"/>
  <c r="AA147" i="1" s="1"/>
  <c r="T148" i="1"/>
  <c r="AA148" i="1" s="1"/>
  <c r="T152" i="1"/>
  <c r="T153" i="1"/>
  <c r="T154" i="1"/>
  <c r="T158" i="1"/>
  <c r="T159" i="1"/>
  <c r="T160" i="1"/>
  <c r="T161" i="1"/>
  <c r="AA161" i="1" s="1"/>
  <c r="T162" i="1"/>
  <c r="T163" i="1"/>
  <c r="AA163" i="1" s="1"/>
  <c r="T168" i="1"/>
  <c r="T169" i="1"/>
  <c r="AA169" i="1" s="1"/>
  <c r="T170" i="1"/>
  <c r="T171" i="1"/>
  <c r="AA171" i="1" s="1"/>
  <c r="Z135" i="3" s="1"/>
  <c r="T172" i="1"/>
  <c r="T173" i="1"/>
  <c r="AA173" i="1" s="1"/>
  <c r="Z137" i="3" s="1"/>
  <c r="T174" i="1"/>
  <c r="T175" i="1"/>
  <c r="S139" i="3" s="1"/>
  <c r="T176" i="1"/>
  <c r="AA176" i="1" s="1"/>
  <c r="Z141" i="3" s="1"/>
  <c r="T177" i="1"/>
  <c r="T178" i="1"/>
  <c r="AA178" i="1" s="1"/>
  <c r="Z143" i="3" s="1"/>
  <c r="T179" i="1"/>
  <c r="AA179" i="1" s="1"/>
  <c r="Z144" i="3" s="1"/>
  <c r="T180" i="1"/>
  <c r="T166" i="1" s="1"/>
  <c r="T181" i="1"/>
  <c r="T182" i="1"/>
  <c r="AA182" i="1" s="1"/>
  <c r="Z156" i="3" s="1"/>
  <c r="T183" i="1"/>
  <c r="S157" i="3" s="1"/>
  <c r="T184" i="1"/>
  <c r="AA184" i="1" s="1"/>
  <c r="Z159" i="3" s="1"/>
  <c r="T185" i="1"/>
  <c r="T186" i="1"/>
  <c r="AA186" i="1" s="1"/>
  <c r="Z161" i="3" s="1"/>
  <c r="T187" i="1"/>
  <c r="T188" i="1"/>
  <c r="AA188" i="1" s="1"/>
  <c r="T189" i="1"/>
  <c r="T190" i="1"/>
  <c r="AA190" i="1" s="1"/>
  <c r="T191" i="1"/>
  <c r="T192" i="1"/>
  <c r="AA192" i="1" s="1"/>
  <c r="T193" i="1"/>
  <c r="AA193" i="1" s="1"/>
  <c r="T194" i="1"/>
  <c r="T200" i="1"/>
  <c r="T201" i="1"/>
  <c r="T202" i="1"/>
  <c r="T203" i="1"/>
  <c r="T204" i="1"/>
  <c r="AA204" i="1" s="1"/>
  <c r="T205" i="1"/>
  <c r="T206" i="1"/>
  <c r="T207" i="1"/>
  <c r="AA207" i="1" s="1"/>
  <c r="AA208" i="1"/>
  <c r="AA209" i="1"/>
  <c r="T210" i="1"/>
  <c r="T211" i="1"/>
  <c r="T199" i="1" s="1"/>
  <c r="T214" i="1"/>
  <c r="T217" i="1"/>
  <c r="AA217" i="1" s="1"/>
  <c r="T218" i="1"/>
  <c r="T221" i="1"/>
  <c r="AA221" i="1" s="1"/>
  <c r="T222" i="1"/>
  <c r="AA222" i="1" s="1"/>
  <c r="T225" i="1"/>
  <c r="T226" i="1"/>
  <c r="T227" i="1"/>
  <c r="AA227" i="1" s="1"/>
  <c r="Z155" i="3" s="1"/>
  <c r="T228" i="1"/>
  <c r="T229" i="1"/>
  <c r="AA229" i="1" s="1"/>
  <c r="Z173" i="3" s="1"/>
  <c r="T230" i="1"/>
  <c r="AA230" i="1" s="1"/>
  <c r="T231" i="1"/>
  <c r="AA231" i="1" s="1"/>
  <c r="T234" i="1"/>
  <c r="T235" i="1"/>
  <c r="AA235" i="1" s="1"/>
  <c r="T236" i="1"/>
  <c r="T237" i="1"/>
  <c r="AA237" i="1" s="1"/>
  <c r="Z189" i="3" s="1"/>
  <c r="T238" i="1"/>
  <c r="AA238" i="1" s="1"/>
  <c r="T239" i="1"/>
  <c r="AA239" i="1" s="1"/>
  <c r="Z191" i="3" s="1"/>
  <c r="T240" i="1"/>
  <c r="AA240" i="1" s="1"/>
  <c r="Z193" i="3" s="1"/>
  <c r="Z192" i="3" s="1"/>
  <c r="T243" i="1"/>
  <c r="T242" i="1" s="1"/>
  <c r="T241" i="1" s="1"/>
  <c r="O270" i="1" l="1"/>
  <c r="O269" i="1"/>
  <c r="V26" i="3"/>
  <c r="O247" i="1"/>
  <c r="G165" i="3"/>
  <c r="O203" i="3"/>
  <c r="P269" i="1"/>
  <c r="Q30" i="3"/>
  <c r="U188" i="3"/>
  <c r="K203" i="3"/>
  <c r="H201" i="3"/>
  <c r="X126" i="3"/>
  <c r="K86" i="3"/>
  <c r="K200" i="3" s="1"/>
  <c r="L269" i="1" s="1"/>
  <c r="J86" i="3"/>
  <c r="J200" i="3" s="1"/>
  <c r="K269" i="1" s="1"/>
  <c r="Z19" i="3"/>
  <c r="P188" i="3"/>
  <c r="V269" i="1"/>
  <c r="G269" i="1"/>
  <c r="W269" i="1"/>
  <c r="N188" i="3"/>
  <c r="T86" i="3"/>
  <c r="T200" i="3" s="1"/>
  <c r="E86" i="3"/>
  <c r="E200" i="3" s="1"/>
  <c r="F269" i="1" s="1"/>
  <c r="H30" i="3"/>
  <c r="O248" i="1"/>
  <c r="J21" i="3"/>
  <c r="J269" i="1"/>
  <c r="S197" i="3"/>
  <c r="V180" i="3"/>
  <c r="AA220" i="1"/>
  <c r="AA219" i="1" s="1"/>
  <c r="K121" i="3"/>
  <c r="H180" i="3"/>
  <c r="X194" i="3"/>
  <c r="J180" i="3"/>
  <c r="F185" i="3"/>
  <c r="E152" i="3"/>
  <c r="H194" i="3"/>
  <c r="X152" i="3"/>
  <c r="O17" i="3"/>
  <c r="V194" i="3"/>
  <c r="U194" i="3"/>
  <c r="T194" i="3"/>
  <c r="J17" i="3"/>
  <c r="E203" i="3"/>
  <c r="V17" i="3"/>
  <c r="O194" i="3"/>
  <c r="X185" i="3"/>
  <c r="W185" i="3"/>
  <c r="O152" i="3"/>
  <c r="U158" i="3"/>
  <c r="O121" i="3"/>
  <c r="X21" i="3"/>
  <c r="E201" i="3"/>
  <c r="Q158" i="3"/>
  <c r="O26" i="3"/>
  <c r="F188" i="3"/>
  <c r="P203" i="3"/>
  <c r="I17" i="3"/>
  <c r="Q194" i="3"/>
  <c r="P194" i="3"/>
  <c r="V158" i="3"/>
  <c r="Q152" i="3"/>
  <c r="H152" i="3"/>
  <c r="V121" i="3"/>
  <c r="T180" i="3"/>
  <c r="N203" i="3"/>
  <c r="J165" i="3"/>
  <c r="K133" i="3"/>
  <c r="R86" i="3"/>
  <c r="T21" i="3"/>
  <c r="R180" i="3"/>
  <c r="T121" i="3"/>
  <c r="Q86" i="3"/>
  <c r="Q200" i="3" s="1"/>
  <c r="R269" i="1" s="1"/>
  <c r="H26" i="3"/>
  <c r="U17" i="3"/>
  <c r="I188" i="3"/>
  <c r="X158" i="3"/>
  <c r="X146" i="3" s="1"/>
  <c r="G26" i="3"/>
  <c r="H188" i="3"/>
  <c r="K185" i="3"/>
  <c r="W158" i="3"/>
  <c r="H158" i="3"/>
  <c r="J76" i="3"/>
  <c r="U26" i="3"/>
  <c r="F26" i="3"/>
  <c r="E21" i="3"/>
  <c r="V188" i="3"/>
  <c r="V178" i="3" s="1"/>
  <c r="G188" i="3"/>
  <c r="J185" i="3"/>
  <c r="O180" i="3"/>
  <c r="Q203" i="3"/>
  <c r="W203" i="3"/>
  <c r="X272" i="1" s="1"/>
  <c r="T26" i="3"/>
  <c r="E26" i="3"/>
  <c r="Q17" i="3"/>
  <c r="U203" i="3"/>
  <c r="V272" i="1" s="1"/>
  <c r="T203" i="3"/>
  <c r="G203" i="3"/>
  <c r="J203" i="3"/>
  <c r="X203" i="3"/>
  <c r="AA120" i="1"/>
  <c r="Z113" i="3"/>
  <c r="Z88" i="3" s="1"/>
  <c r="S153" i="3"/>
  <c r="I148" i="3"/>
  <c r="S43" i="3"/>
  <c r="I194" i="3"/>
  <c r="W133" i="3"/>
  <c r="S74" i="3"/>
  <c r="T198" i="1"/>
  <c r="T249" i="1" s="1"/>
  <c r="S170" i="3"/>
  <c r="AA181" i="1"/>
  <c r="Z154" i="3" s="1"/>
  <c r="Z152" i="3" s="1"/>
  <c r="S154" i="3"/>
  <c r="AA137" i="1"/>
  <c r="Z109" i="3" s="1"/>
  <c r="S109" i="3"/>
  <c r="S92" i="3"/>
  <c r="S77" i="3"/>
  <c r="T52" i="1"/>
  <c r="S70" i="3"/>
  <c r="AA81" i="1"/>
  <c r="Z55" i="3" s="1"/>
  <c r="S55" i="3"/>
  <c r="AA33" i="1"/>
  <c r="Z131" i="3" s="1"/>
  <c r="S131" i="3"/>
  <c r="AA21" i="1"/>
  <c r="S18" i="3"/>
  <c r="K194" i="3"/>
  <c r="N180" i="3"/>
  <c r="S177" i="3"/>
  <c r="X165" i="3"/>
  <c r="I165" i="3"/>
  <c r="T152" i="3"/>
  <c r="I150" i="3"/>
  <c r="S141" i="3"/>
  <c r="AA124" i="1"/>
  <c r="Z91" i="3" s="1"/>
  <c r="S91" i="3"/>
  <c r="AA92" i="1"/>
  <c r="Z69" i="3" s="1"/>
  <c r="S69" i="3"/>
  <c r="AA68" i="1"/>
  <c r="Z41" i="3" s="1"/>
  <c r="S41" i="3"/>
  <c r="W248" i="1"/>
  <c r="G249" i="1"/>
  <c r="O185" i="3"/>
  <c r="K158" i="3"/>
  <c r="Q76" i="3"/>
  <c r="I28" i="3"/>
  <c r="AA136" i="1"/>
  <c r="Z108" i="3" s="1"/>
  <c r="S108" i="3"/>
  <c r="AA80" i="1"/>
  <c r="Z54" i="3" s="1"/>
  <c r="S54" i="3"/>
  <c r="AA44" i="1"/>
  <c r="S190" i="3"/>
  <c r="AA32" i="1"/>
  <c r="Z130" i="3" s="1"/>
  <c r="S130" i="3"/>
  <c r="AA228" i="1"/>
  <c r="Z172" i="3" s="1"/>
  <c r="S172" i="3"/>
  <c r="S144" i="3"/>
  <c r="T119" i="1"/>
  <c r="S120" i="3"/>
  <c r="S107" i="3"/>
  <c r="S90" i="3"/>
  <c r="S68" i="3"/>
  <c r="S53" i="3"/>
  <c r="S40" i="3"/>
  <c r="S187" i="3"/>
  <c r="X247" i="1"/>
  <c r="V248" i="1"/>
  <c r="O249" i="1"/>
  <c r="S175" i="3"/>
  <c r="V165" i="3"/>
  <c r="S93" i="3"/>
  <c r="AA119" i="1"/>
  <c r="Z120" i="3"/>
  <c r="Z87" i="3" s="1"/>
  <c r="AA162" i="1"/>
  <c r="Z125" i="3" s="1"/>
  <c r="S125" i="3"/>
  <c r="AA146" i="1"/>
  <c r="S119" i="3"/>
  <c r="AA134" i="1"/>
  <c r="Z106" i="3" s="1"/>
  <c r="S106" i="3"/>
  <c r="AA122" i="1"/>
  <c r="Z89" i="3" s="1"/>
  <c r="S89" i="3"/>
  <c r="AA78" i="1"/>
  <c r="Z52" i="3" s="1"/>
  <c r="S52" i="3"/>
  <c r="AA66" i="1"/>
  <c r="Z39" i="3" s="1"/>
  <c r="S39" i="3"/>
  <c r="AA30" i="1"/>
  <c r="Z128" i="3" s="1"/>
  <c r="S128" i="3"/>
  <c r="Y248" i="1"/>
  <c r="S249" i="1"/>
  <c r="W180" i="3"/>
  <c r="P152" i="3"/>
  <c r="X133" i="3"/>
  <c r="S137" i="3"/>
  <c r="T133" i="3"/>
  <c r="AA170" i="1"/>
  <c r="Z115" i="3" s="1"/>
  <c r="S115" i="3"/>
  <c r="S71" i="3"/>
  <c r="V247" i="1"/>
  <c r="S186" i="3"/>
  <c r="S184" i="3"/>
  <c r="S161" i="3"/>
  <c r="S135" i="3"/>
  <c r="S78" i="3"/>
  <c r="AA206" i="1"/>
  <c r="Z140" i="3" s="1"/>
  <c r="S140" i="3"/>
  <c r="AA177" i="1"/>
  <c r="Z142" i="3" s="1"/>
  <c r="S142" i="3"/>
  <c r="AA133" i="1"/>
  <c r="Z105" i="3" s="1"/>
  <c r="S105" i="3"/>
  <c r="AA89" i="1"/>
  <c r="Z63" i="3" s="1"/>
  <c r="S63" i="3"/>
  <c r="AA65" i="1"/>
  <c r="Z38" i="3" s="1"/>
  <c r="S38" i="3"/>
  <c r="AA160" i="1"/>
  <c r="Z123" i="3" s="1"/>
  <c r="S123" i="3"/>
  <c r="AA64" i="1"/>
  <c r="Z37" i="3" s="1"/>
  <c r="S37" i="3"/>
  <c r="Z67" i="3"/>
  <c r="F247" i="1"/>
  <c r="F194" i="3"/>
  <c r="R185" i="3"/>
  <c r="R178" i="3" s="1"/>
  <c r="S173" i="3"/>
  <c r="T158" i="3"/>
  <c r="S155" i="3"/>
  <c r="S110" i="3"/>
  <c r="S132" i="3"/>
  <c r="I179" i="3"/>
  <c r="AA226" i="1"/>
  <c r="Z151" i="3" s="1"/>
  <c r="Z150" i="3" s="1"/>
  <c r="S151" i="3"/>
  <c r="AA101" i="1"/>
  <c r="Z169" i="3" s="1"/>
  <c r="AA77" i="1"/>
  <c r="Z51" i="3" s="1"/>
  <c r="S51" i="3"/>
  <c r="AA29" i="1"/>
  <c r="Z127" i="3" s="1"/>
  <c r="S127" i="3"/>
  <c r="AA211" i="1"/>
  <c r="AA205" i="1"/>
  <c r="Z83" i="3" s="1"/>
  <c r="S83" i="3"/>
  <c r="AA132" i="1"/>
  <c r="Z102" i="3" s="1"/>
  <c r="S102" i="3"/>
  <c r="AA88" i="1"/>
  <c r="Z62" i="3" s="1"/>
  <c r="S62" i="3"/>
  <c r="AA76" i="1"/>
  <c r="Z50" i="3" s="1"/>
  <c r="S50" i="3"/>
  <c r="AA40" i="1"/>
  <c r="Z183" i="3" s="1"/>
  <c r="S183" i="3"/>
  <c r="AA28" i="1"/>
  <c r="Z124" i="3" s="1"/>
  <c r="S124" i="3"/>
  <c r="S67" i="3"/>
  <c r="S162" i="3"/>
  <c r="S122" i="3"/>
  <c r="S116" i="3"/>
  <c r="AA131" i="1"/>
  <c r="Z98" i="3" s="1"/>
  <c r="S98" i="3"/>
  <c r="S61" i="3"/>
  <c r="S49" i="3"/>
  <c r="S36" i="3"/>
  <c r="S117" i="3"/>
  <c r="AA187" i="1"/>
  <c r="Z162" i="3" s="1"/>
  <c r="Z158" i="3" s="1"/>
  <c r="AA94" i="1"/>
  <c r="Z71" i="3" s="1"/>
  <c r="V245" i="1"/>
  <c r="I249" i="1"/>
  <c r="P249" i="1"/>
  <c r="S196" i="3"/>
  <c r="V203" i="3"/>
  <c r="W272" i="1" s="1"/>
  <c r="I163" i="3"/>
  <c r="S159" i="3"/>
  <c r="F158" i="3"/>
  <c r="K152" i="3"/>
  <c r="S99" i="3"/>
  <c r="S19" i="3"/>
  <c r="AA189" i="1"/>
  <c r="Z174" i="3" s="1"/>
  <c r="S174" i="3"/>
  <c r="S118" i="3"/>
  <c r="AA203" i="1"/>
  <c r="S66" i="3"/>
  <c r="AA174" i="1"/>
  <c r="Z138" i="3" s="1"/>
  <c r="S138" i="3"/>
  <c r="AA158" i="1"/>
  <c r="Z44" i="3" s="1"/>
  <c r="S44" i="3"/>
  <c r="AA142" i="1"/>
  <c r="Z114" i="3" s="1"/>
  <c r="S114" i="3"/>
  <c r="AA130" i="1"/>
  <c r="Z97" i="3" s="1"/>
  <c r="S97" i="3"/>
  <c r="AA112" i="1"/>
  <c r="Z82" i="3" s="1"/>
  <c r="S82" i="3"/>
  <c r="T54" i="1"/>
  <c r="S75" i="3"/>
  <c r="AA86" i="1"/>
  <c r="S60" i="3"/>
  <c r="AA74" i="1"/>
  <c r="Z48" i="3" s="1"/>
  <c r="S48" i="3"/>
  <c r="AA62" i="1"/>
  <c r="Z35" i="3" s="1"/>
  <c r="S35" i="3"/>
  <c r="AA26" i="1"/>
  <c r="Z104" i="3" s="1"/>
  <c r="S104" i="3"/>
  <c r="I180" i="3"/>
  <c r="S182" i="3"/>
  <c r="S171" i="3"/>
  <c r="F203" i="3"/>
  <c r="G272" i="1" s="1"/>
  <c r="P165" i="3"/>
  <c r="R158" i="3"/>
  <c r="G126" i="3"/>
  <c r="AA218" i="1"/>
  <c r="Z168" i="3" s="1"/>
  <c r="S168" i="3"/>
  <c r="AA185" i="1"/>
  <c r="Z160" i="3" s="1"/>
  <c r="S160" i="3"/>
  <c r="T120" i="1"/>
  <c r="S113" i="3"/>
  <c r="S96" i="3"/>
  <c r="S81" i="3"/>
  <c r="AA85" i="1"/>
  <c r="Z59" i="3" s="1"/>
  <c r="S59" i="3"/>
  <c r="S47" i="3"/>
  <c r="AA61" i="1"/>
  <c r="Z34" i="3" s="1"/>
  <c r="S34" i="3"/>
  <c r="AA37" i="1"/>
  <c r="Z176" i="3" s="1"/>
  <c r="S176" i="3"/>
  <c r="S103" i="3"/>
  <c r="S193" i="3"/>
  <c r="S191" i="3"/>
  <c r="O158" i="3"/>
  <c r="S145" i="3"/>
  <c r="S65" i="3"/>
  <c r="AA201" i="1"/>
  <c r="Z64" i="3" s="1"/>
  <c r="S64" i="3"/>
  <c r="AA172" i="1"/>
  <c r="Z136" i="3" s="1"/>
  <c r="S136" i="3"/>
  <c r="AA154" i="1"/>
  <c r="Z101" i="3" s="1"/>
  <c r="S101" i="3"/>
  <c r="AA140" i="1"/>
  <c r="Z112" i="3" s="1"/>
  <c r="S112" i="3"/>
  <c r="AA128" i="1"/>
  <c r="Z95" i="3" s="1"/>
  <c r="S95" i="3"/>
  <c r="AA110" i="1"/>
  <c r="Z80" i="3" s="1"/>
  <c r="S80" i="3"/>
  <c r="AA96" i="1"/>
  <c r="Z73" i="3" s="1"/>
  <c r="S73" i="3"/>
  <c r="T49" i="1"/>
  <c r="S58" i="3"/>
  <c r="AA72" i="1"/>
  <c r="Z46" i="3" s="1"/>
  <c r="S46" i="3"/>
  <c r="AA60" i="1"/>
  <c r="Z33" i="3" s="1"/>
  <c r="S33" i="3"/>
  <c r="AA70" i="1"/>
  <c r="Z43" i="3" s="1"/>
  <c r="W247" i="1"/>
  <c r="R203" i="3"/>
  <c r="S272" i="1" s="1"/>
  <c r="S143" i="3"/>
  <c r="S129" i="3"/>
  <c r="R126" i="3"/>
  <c r="S156" i="3"/>
  <c r="S56" i="3"/>
  <c r="AA153" i="1"/>
  <c r="Z100" i="3" s="1"/>
  <c r="S100" i="3"/>
  <c r="AA139" i="1"/>
  <c r="Z111" i="3" s="1"/>
  <c r="S111" i="3"/>
  <c r="AA127" i="1"/>
  <c r="Z94" i="3" s="1"/>
  <c r="S94" i="3"/>
  <c r="AA109" i="1"/>
  <c r="Z79" i="3" s="1"/>
  <c r="S79" i="3"/>
  <c r="S72" i="3"/>
  <c r="AA83" i="1"/>
  <c r="Z57" i="3" s="1"/>
  <c r="S57" i="3"/>
  <c r="AA71" i="1"/>
  <c r="Z45" i="3" s="1"/>
  <c r="S45" i="3"/>
  <c r="S32" i="3"/>
  <c r="AA35" i="1"/>
  <c r="Z164" i="3" s="1"/>
  <c r="Z163" i="3" s="1"/>
  <c r="S164" i="3"/>
  <c r="K248" i="1"/>
  <c r="S189" i="3"/>
  <c r="S169" i="3"/>
  <c r="V185" i="3"/>
  <c r="I185" i="3"/>
  <c r="I178" i="3" s="1"/>
  <c r="U180" i="3"/>
  <c r="H203" i="3"/>
  <c r="I272" i="1" s="1"/>
  <c r="I152" i="3"/>
  <c r="I121" i="3"/>
  <c r="Q85" i="3"/>
  <c r="Q202" i="3" s="1"/>
  <c r="V76" i="3"/>
  <c r="T30" i="3"/>
  <c r="T201" i="3" s="1"/>
  <c r="X26" i="3"/>
  <c r="K26" i="3"/>
  <c r="H21" i="3"/>
  <c r="H199" i="3" s="1"/>
  <c r="X188" i="3"/>
  <c r="K188" i="3"/>
  <c r="U185" i="3"/>
  <c r="H185" i="3"/>
  <c r="H178" i="3" s="1"/>
  <c r="Q180" i="3"/>
  <c r="U152" i="3"/>
  <c r="U121" i="3"/>
  <c r="I88" i="3"/>
  <c r="P85" i="3"/>
  <c r="P202" i="3" s="1"/>
  <c r="O76" i="3"/>
  <c r="F30" i="3"/>
  <c r="F201" i="3" s="1"/>
  <c r="V21" i="3"/>
  <c r="V199" i="3" s="1"/>
  <c r="I192" i="3"/>
  <c r="W188" i="3"/>
  <c r="J188" i="3"/>
  <c r="T185" i="3"/>
  <c r="P180" i="3"/>
  <c r="I167" i="3"/>
  <c r="G152" i="3"/>
  <c r="O126" i="3"/>
  <c r="X84" i="3"/>
  <c r="I24" i="3"/>
  <c r="R30" i="3"/>
  <c r="R201" i="3" s="1"/>
  <c r="S270" i="1" s="1"/>
  <c r="O30" i="3"/>
  <c r="O201" i="3" s="1"/>
  <c r="O133" i="3"/>
  <c r="P121" i="3"/>
  <c r="F76" i="3"/>
  <c r="K20" i="3"/>
  <c r="F85" i="3"/>
  <c r="F202" i="3" s="1"/>
  <c r="X20" i="3"/>
  <c r="W121" i="3"/>
  <c r="R85" i="3"/>
  <c r="R202" i="3" s="1"/>
  <c r="X85" i="3"/>
  <c r="X202" i="3" s="1"/>
  <c r="Y271" i="1" s="1"/>
  <c r="K21" i="3"/>
  <c r="P185" i="3"/>
  <c r="X180" i="3"/>
  <c r="K180" i="3"/>
  <c r="U165" i="3"/>
  <c r="I158" i="3"/>
  <c r="I153" i="3"/>
  <c r="F152" i="3"/>
  <c r="N126" i="3"/>
  <c r="F121" i="3"/>
  <c r="J199" i="3"/>
  <c r="J85" i="3"/>
  <c r="J202" i="3" s="1"/>
  <c r="K271" i="1" s="1"/>
  <c r="P76" i="3"/>
  <c r="R26" i="3"/>
  <c r="X121" i="3"/>
  <c r="V85" i="3"/>
  <c r="V202" i="3" s="1"/>
  <c r="W271" i="1" s="1"/>
  <c r="I85" i="3"/>
  <c r="O21" i="3"/>
  <c r="O199" i="3" s="1"/>
  <c r="U20" i="3"/>
  <c r="W194" i="3"/>
  <c r="J194" i="3"/>
  <c r="Q188" i="3"/>
  <c r="N185" i="3"/>
  <c r="J158" i="3"/>
  <c r="G158" i="3"/>
  <c r="W152" i="3"/>
  <c r="I134" i="3"/>
  <c r="H126" i="3"/>
  <c r="J121" i="3"/>
  <c r="O85" i="3"/>
  <c r="O202" i="3" s="1"/>
  <c r="U85" i="3"/>
  <c r="U202" i="3" s="1"/>
  <c r="V271" i="1" s="1"/>
  <c r="H85" i="3"/>
  <c r="H202" i="3" s="1"/>
  <c r="I27" i="3"/>
  <c r="G30" i="3"/>
  <c r="G201" i="3" s="1"/>
  <c r="G17" i="3"/>
  <c r="T126" i="3"/>
  <c r="T199" i="3"/>
  <c r="N85" i="3"/>
  <c r="N202" i="3" s="1"/>
  <c r="T85" i="3"/>
  <c r="T202" i="3" s="1"/>
  <c r="G85" i="3"/>
  <c r="G202" i="3" s="1"/>
  <c r="H271" i="1" s="1"/>
  <c r="P126" i="3"/>
  <c r="F126" i="3"/>
  <c r="H121" i="3"/>
  <c r="I87" i="3"/>
  <c r="Q201" i="3"/>
  <c r="R270" i="1" s="1"/>
  <c r="Q26" i="3"/>
  <c r="W20" i="3"/>
  <c r="P30" i="3"/>
  <c r="P201" i="3" s="1"/>
  <c r="I20" i="3"/>
  <c r="W21" i="3"/>
  <c r="W199" i="3" s="1"/>
  <c r="F21" i="3"/>
  <c r="F199" i="3" s="1"/>
  <c r="G268" i="1" s="1"/>
  <c r="I21" i="3"/>
  <c r="R21" i="3"/>
  <c r="X30" i="3"/>
  <c r="X201" i="3" s="1"/>
  <c r="K30" i="3"/>
  <c r="K201" i="3" s="1"/>
  <c r="L270" i="1" s="1"/>
  <c r="U21" i="3"/>
  <c r="U199" i="3" s="1"/>
  <c r="V268" i="1" s="1"/>
  <c r="W26" i="3"/>
  <c r="Q21" i="3"/>
  <c r="W30" i="3"/>
  <c r="W201" i="3" s="1"/>
  <c r="X270" i="1" s="1"/>
  <c r="J30" i="3"/>
  <c r="J201" i="3" s="1"/>
  <c r="G21" i="3"/>
  <c r="G199" i="3" s="1"/>
  <c r="H268" i="1" s="1"/>
  <c r="I26" i="3"/>
  <c r="V30" i="3"/>
  <c r="V201" i="3" s="1"/>
  <c r="W270" i="1" s="1"/>
  <c r="I30" i="3"/>
  <c r="X17" i="3"/>
  <c r="K17" i="3"/>
  <c r="U30" i="3"/>
  <c r="U201" i="3" s="1"/>
  <c r="W17" i="3"/>
  <c r="V126" i="3"/>
  <c r="J126" i="3"/>
  <c r="P84" i="3"/>
  <c r="G194" i="3"/>
  <c r="Q185" i="3"/>
  <c r="Q165" i="3"/>
  <c r="E165" i="3"/>
  <c r="W126" i="3"/>
  <c r="K126" i="3"/>
  <c r="U126" i="3"/>
  <c r="I126" i="3"/>
  <c r="W85" i="3"/>
  <c r="W202" i="3" s="1"/>
  <c r="X271" i="1" s="1"/>
  <c r="K85" i="3"/>
  <c r="K202" i="3" s="1"/>
  <c r="O84" i="3"/>
  <c r="T17" i="3"/>
  <c r="H17" i="3"/>
  <c r="T76" i="3"/>
  <c r="H76" i="3"/>
  <c r="W165" i="3"/>
  <c r="K165" i="3"/>
  <c r="V152" i="3"/>
  <c r="V146" i="3" s="1"/>
  <c r="J152" i="3"/>
  <c r="U133" i="3"/>
  <c r="I133" i="3"/>
  <c r="Q121" i="3"/>
  <c r="U76" i="3"/>
  <c r="I76" i="3"/>
  <c r="G76" i="3"/>
  <c r="W84" i="3"/>
  <c r="K84" i="3"/>
  <c r="R200" i="3"/>
  <c r="S269" i="1" s="1"/>
  <c r="E199" i="3"/>
  <c r="F268" i="1" s="1"/>
  <c r="T165" i="3"/>
  <c r="H165" i="3"/>
  <c r="P158" i="3"/>
  <c r="V20" i="3"/>
  <c r="J20" i="3"/>
  <c r="Q126" i="3"/>
  <c r="Q133" i="3"/>
  <c r="N21" i="3"/>
  <c r="F165" i="3"/>
  <c r="N158" i="3"/>
  <c r="V133" i="3"/>
  <c r="J133" i="3"/>
  <c r="F133" i="3"/>
  <c r="P133" i="3"/>
  <c r="P21" i="3"/>
  <c r="P199" i="3" s="1"/>
  <c r="Q268" i="1" s="1"/>
  <c r="T20" i="3"/>
  <c r="U84" i="3"/>
  <c r="I84" i="3"/>
  <c r="V84" i="3"/>
  <c r="J84" i="3"/>
  <c r="T84" i="3"/>
  <c r="H84" i="3"/>
  <c r="X86" i="3"/>
  <c r="Q84" i="3"/>
  <c r="X76" i="3"/>
  <c r="W76" i="3"/>
  <c r="K76" i="3"/>
  <c r="AA202" i="1"/>
  <c r="Z65" i="3" s="1"/>
  <c r="AA159" i="1"/>
  <c r="Z122" i="3" s="1"/>
  <c r="AA79" i="1"/>
  <c r="Z53" i="3" s="1"/>
  <c r="AA31" i="1"/>
  <c r="Z129" i="3" s="1"/>
  <c r="U244" i="1"/>
  <c r="Q247" i="1"/>
  <c r="U248" i="1"/>
  <c r="AA194" i="1"/>
  <c r="Z196" i="3" s="1"/>
  <c r="Z195" i="3" s="1"/>
  <c r="Z194" i="3" s="1"/>
  <c r="AA111" i="1"/>
  <c r="Z81" i="3" s="1"/>
  <c r="AA75" i="1"/>
  <c r="Z49" i="3" s="1"/>
  <c r="AA27" i="1"/>
  <c r="Z117" i="3" s="1"/>
  <c r="P247" i="1"/>
  <c r="U247" i="1"/>
  <c r="U249" i="1"/>
  <c r="F249" i="1"/>
  <c r="L249" i="1"/>
  <c r="Q245" i="1"/>
  <c r="T48" i="1"/>
  <c r="AA191" i="1"/>
  <c r="Z182" i="3" s="1"/>
  <c r="AA152" i="1"/>
  <c r="Z99" i="3" s="1"/>
  <c r="AA108" i="1"/>
  <c r="Z78" i="3" s="1"/>
  <c r="AA73" i="1"/>
  <c r="AA25" i="1"/>
  <c r="G248" i="1"/>
  <c r="R248" i="1"/>
  <c r="K249" i="1"/>
  <c r="L244" i="1"/>
  <c r="R249" i="1"/>
  <c r="Y249" i="1"/>
  <c r="J249" i="1"/>
  <c r="AA236" i="1"/>
  <c r="Z177" i="3" s="1"/>
  <c r="AA143" i="1"/>
  <c r="Z116" i="3" s="1"/>
  <c r="AA103" i="1"/>
  <c r="AA67" i="1"/>
  <c r="Z40" i="3" s="1"/>
  <c r="K244" i="1"/>
  <c r="S248" i="1"/>
  <c r="Y247" i="1"/>
  <c r="T50" i="1"/>
  <c r="I245" i="1"/>
  <c r="P248" i="1"/>
  <c r="X249" i="1"/>
  <c r="H245" i="1"/>
  <c r="G245" i="1"/>
  <c r="W249" i="1"/>
  <c r="H249" i="1"/>
  <c r="AA138" i="1"/>
  <c r="Z110" i="3" s="1"/>
  <c r="AA97" i="1"/>
  <c r="Q248" i="1"/>
  <c r="U245" i="1"/>
  <c r="L248" i="1"/>
  <c r="K245" i="1"/>
  <c r="T118" i="1"/>
  <c r="T246" i="1" s="1"/>
  <c r="H247" i="1"/>
  <c r="AA175" i="1"/>
  <c r="Z139" i="3" s="1"/>
  <c r="AA91" i="1"/>
  <c r="AA43" i="1"/>
  <c r="Z187" i="3" s="1"/>
  <c r="Z185" i="3" s="1"/>
  <c r="Y244" i="1"/>
  <c r="G247" i="1"/>
  <c r="Y245" i="1"/>
  <c r="J245" i="1"/>
  <c r="J248" i="1"/>
  <c r="K247" i="1"/>
  <c r="T220" i="1"/>
  <c r="U246" i="1"/>
  <c r="T56" i="1"/>
  <c r="X248" i="1"/>
  <c r="I248" i="1"/>
  <c r="T156" i="1"/>
  <c r="AA126" i="1"/>
  <c r="Z93" i="3" s="1"/>
  <c r="W244" i="1"/>
  <c r="S247" i="1"/>
  <c r="W245" i="1"/>
  <c r="H248" i="1"/>
  <c r="I247" i="1"/>
  <c r="Q249" i="1"/>
  <c r="AA243" i="1"/>
  <c r="AA242" i="1" s="1"/>
  <c r="AA241" i="1" s="1"/>
  <c r="AA210" i="1"/>
  <c r="J244" i="1"/>
  <c r="AA200" i="1"/>
  <c r="T196" i="1"/>
  <c r="AA59" i="1"/>
  <c r="T47" i="1"/>
  <c r="AA69" i="1"/>
  <c r="X244" i="1"/>
  <c r="V244" i="1"/>
  <c r="T105" i="1"/>
  <c r="T165" i="1"/>
  <c r="AA93" i="1"/>
  <c r="AA234" i="1"/>
  <c r="AA233" i="1" s="1"/>
  <c r="AA232" i="1" s="1"/>
  <c r="T233" i="1"/>
  <c r="AA183" i="1"/>
  <c r="T167" i="1"/>
  <c r="T116" i="1"/>
  <c r="AA125" i="1"/>
  <c r="Z92" i="3" s="1"/>
  <c r="AA95" i="1"/>
  <c r="T51" i="1"/>
  <c r="T150" i="1"/>
  <c r="T117" i="1"/>
  <c r="T213" i="1"/>
  <c r="AA214" i="1"/>
  <c r="AA213" i="1" s="1"/>
  <c r="AA212" i="1" s="1"/>
  <c r="T19" i="1"/>
  <c r="T224" i="1"/>
  <c r="AA151" i="1"/>
  <c r="AA180" i="1"/>
  <c r="AA168" i="1"/>
  <c r="H246" i="1"/>
  <c r="H269" i="1" s="1"/>
  <c r="R245" i="1"/>
  <c r="F245" i="1"/>
  <c r="T197" i="1"/>
  <c r="T216" i="1"/>
  <c r="P245" i="1"/>
  <c r="AA145" i="1"/>
  <c r="AA41" i="1"/>
  <c r="AA225" i="1"/>
  <c r="T53" i="1"/>
  <c r="AA98" i="1"/>
  <c r="X245" i="1"/>
  <c r="L245" i="1"/>
  <c r="AA84" i="1"/>
  <c r="P37" i="1"/>
  <c r="I270" i="1" l="1"/>
  <c r="U271" i="1"/>
  <c r="R272" i="1"/>
  <c r="F270" i="1"/>
  <c r="L272" i="1"/>
  <c r="P19" i="1"/>
  <c r="P18" i="1" s="1"/>
  <c r="O176" i="3"/>
  <c r="O165" i="3" s="1"/>
  <c r="O146" i="3" s="1"/>
  <c r="L271" i="1"/>
  <c r="Q270" i="1"/>
  <c r="O271" i="1"/>
  <c r="X178" i="3"/>
  <c r="X198" i="3" s="1"/>
  <c r="Y267" i="1" s="1"/>
  <c r="Y272" i="1"/>
  <c r="U269" i="1"/>
  <c r="K272" i="1"/>
  <c r="F272" i="1"/>
  <c r="H146" i="3"/>
  <c r="P270" i="1"/>
  <c r="H272" i="1"/>
  <c r="U146" i="3"/>
  <c r="AA156" i="1"/>
  <c r="AA155" i="1" s="1"/>
  <c r="V270" i="1"/>
  <c r="H270" i="1"/>
  <c r="S271" i="1"/>
  <c r="G270" i="1"/>
  <c r="O272" i="1"/>
  <c r="Q272" i="1"/>
  <c r="P272" i="1"/>
  <c r="I268" i="1"/>
  <c r="W146" i="3"/>
  <c r="N178" i="3"/>
  <c r="U272" i="1"/>
  <c r="Y270" i="1"/>
  <c r="I271" i="1"/>
  <c r="Q271" i="1"/>
  <c r="U270" i="1"/>
  <c r="Q146" i="3"/>
  <c r="P271" i="1"/>
  <c r="P268" i="1"/>
  <c r="G271" i="1"/>
  <c r="R271" i="1"/>
  <c r="X268" i="1"/>
  <c r="U268" i="1"/>
  <c r="W268" i="1"/>
  <c r="K270" i="1"/>
  <c r="AA56" i="1"/>
  <c r="K268" i="1"/>
  <c r="AA150" i="1"/>
  <c r="AA149" i="1" s="1"/>
  <c r="J178" i="3"/>
  <c r="AA116" i="1"/>
  <c r="AA115" i="1" s="1"/>
  <c r="Z165" i="3"/>
  <c r="Z30" i="3"/>
  <c r="S84" i="3"/>
  <c r="T146" i="3"/>
  <c r="J146" i="3"/>
  <c r="W178" i="3"/>
  <c r="S76" i="3"/>
  <c r="T178" i="3"/>
  <c r="K178" i="3"/>
  <c r="P178" i="3"/>
  <c r="K199" i="3"/>
  <c r="L268" i="1" s="1"/>
  <c r="U178" i="3"/>
  <c r="U198" i="3" s="1"/>
  <c r="V267" i="1" s="1"/>
  <c r="P146" i="3"/>
  <c r="Z146" i="3"/>
  <c r="Q199" i="3"/>
  <c r="R268" i="1" s="1"/>
  <c r="AA49" i="1"/>
  <c r="Z58" i="3"/>
  <c r="Z22" i="3" s="1"/>
  <c r="Q178" i="3"/>
  <c r="AA52" i="1"/>
  <c r="Z70" i="3"/>
  <c r="Z25" i="3" s="1"/>
  <c r="AA57" i="1"/>
  <c r="Z47" i="3"/>
  <c r="Z31" i="3" s="1"/>
  <c r="AA48" i="1"/>
  <c r="Z42" i="3"/>
  <c r="Z21" i="3" s="1"/>
  <c r="AA51" i="1"/>
  <c r="Z72" i="3"/>
  <c r="Z24" i="3" s="1"/>
  <c r="AA55" i="1"/>
  <c r="Z74" i="3"/>
  <c r="Z27" i="3" s="1"/>
  <c r="AA47" i="1"/>
  <c r="AA46" i="1" s="1"/>
  <c r="Z32" i="3"/>
  <c r="Z20" i="3" s="1"/>
  <c r="AA20" i="1"/>
  <c r="Z184" i="3"/>
  <c r="Z181" i="3" s="1"/>
  <c r="Z179" i="3" s="1"/>
  <c r="G146" i="3"/>
  <c r="AA198" i="1"/>
  <c r="Z170" i="3"/>
  <c r="Z166" i="3" s="1"/>
  <c r="Z148" i="3" s="1"/>
  <c r="AA53" i="1"/>
  <c r="Z68" i="3"/>
  <c r="Z26" i="3" s="1"/>
  <c r="S195" i="3"/>
  <c r="S188" i="3"/>
  <c r="AA105" i="1"/>
  <c r="AA104" i="1" s="1"/>
  <c r="Z76" i="3"/>
  <c r="S20" i="3"/>
  <c r="S181" i="3"/>
  <c r="Z126" i="3"/>
  <c r="Z190" i="3"/>
  <c r="Z188" i="3" s="1"/>
  <c r="Z18" i="3"/>
  <c r="Z17" i="3" s="1"/>
  <c r="S147" i="3"/>
  <c r="T245" i="1"/>
  <c r="I147" i="3"/>
  <c r="I149" i="3"/>
  <c r="S134" i="3"/>
  <c r="S88" i="3"/>
  <c r="S23" i="3"/>
  <c r="S133" i="3"/>
  <c r="S185" i="3"/>
  <c r="S17" i="3"/>
  <c r="AA54" i="1"/>
  <c r="Z75" i="3"/>
  <c r="Z28" i="3" s="1"/>
  <c r="S26" i="3"/>
  <c r="AA50" i="1"/>
  <c r="Z60" i="3"/>
  <c r="Z23" i="3" s="1"/>
  <c r="S150" i="3"/>
  <c r="S29" i="3"/>
  <c r="S28" i="3"/>
  <c r="AA224" i="1"/>
  <c r="AA223" i="1" s="1"/>
  <c r="AA166" i="1"/>
  <c r="Z145" i="3"/>
  <c r="Z134" i="3" s="1"/>
  <c r="AA216" i="1"/>
  <c r="AA215" i="1" s="1"/>
  <c r="I146" i="3"/>
  <c r="I199" i="3"/>
  <c r="J268" i="1" s="1"/>
  <c r="S22" i="3"/>
  <c r="AA197" i="1"/>
  <c r="Z66" i="3"/>
  <c r="Z29" i="3" s="1"/>
  <c r="S166" i="3"/>
  <c r="S21" i="3"/>
  <c r="S31" i="3"/>
  <c r="S25" i="3"/>
  <c r="Z180" i="3"/>
  <c r="AA117" i="1"/>
  <c r="AA248" i="1" s="1"/>
  <c r="Z118" i="3"/>
  <c r="Z85" i="3" s="1"/>
  <c r="Z121" i="3"/>
  <c r="S24" i="3"/>
  <c r="S192" i="3"/>
  <c r="S167" i="3"/>
  <c r="S158" i="3"/>
  <c r="S152" i="3"/>
  <c r="Z133" i="3"/>
  <c r="S27" i="3"/>
  <c r="AA199" i="1"/>
  <c r="Z171" i="3"/>
  <c r="Z167" i="3" s="1"/>
  <c r="Z149" i="3" s="1"/>
  <c r="S165" i="3"/>
  <c r="AA167" i="1"/>
  <c r="Z157" i="3"/>
  <c r="Z153" i="3" s="1"/>
  <c r="Z147" i="3" s="1"/>
  <c r="Z201" i="3" s="1"/>
  <c r="F146" i="3"/>
  <c r="S180" i="3"/>
  <c r="S126" i="3"/>
  <c r="S121" i="3"/>
  <c r="S30" i="3"/>
  <c r="S86" i="3"/>
  <c r="AA19" i="1"/>
  <c r="AA18" i="1" s="1"/>
  <c r="Z103" i="3"/>
  <c r="Z84" i="3" s="1"/>
  <c r="K146" i="3"/>
  <c r="K198" i="3" s="1"/>
  <c r="L267" i="1" s="1"/>
  <c r="I202" i="3"/>
  <c r="J271" i="1" s="1"/>
  <c r="S163" i="3"/>
  <c r="S85" i="3"/>
  <c r="AA118" i="1"/>
  <c r="AA246" i="1" s="1"/>
  <c r="Z119" i="3"/>
  <c r="Z86" i="3" s="1"/>
  <c r="Z200" i="3" s="1"/>
  <c r="S87" i="3"/>
  <c r="J198" i="3"/>
  <c r="K267" i="1" s="1"/>
  <c r="V198" i="3"/>
  <c r="W267" i="1" s="1"/>
  <c r="X199" i="3"/>
  <c r="Y268" i="1" s="1"/>
  <c r="X200" i="3"/>
  <c r="Y269" i="1" s="1"/>
  <c r="T212" i="1"/>
  <c r="T155" i="1"/>
  <c r="T247" i="1"/>
  <c r="AA165" i="1"/>
  <c r="AA164" i="1" s="1"/>
  <c r="T164" i="1"/>
  <c r="T104" i="1"/>
  <c r="T232" i="1"/>
  <c r="T223" i="1"/>
  <c r="T215" i="1"/>
  <c r="T18" i="1"/>
  <c r="T115" i="1"/>
  <c r="T219" i="1"/>
  <c r="T46" i="1"/>
  <c r="T248" i="1"/>
  <c r="T195" i="1"/>
  <c r="T149" i="1"/>
  <c r="AA196" i="1"/>
  <c r="AA195" i="1" s="1"/>
  <c r="E240" i="1"/>
  <c r="M240" i="1" s="1"/>
  <c r="W198" i="3" l="1"/>
  <c r="X267" i="1" s="1"/>
  <c r="T198" i="3"/>
  <c r="U267" i="1" s="1"/>
  <c r="Z178" i="3"/>
  <c r="AA269" i="1"/>
  <c r="AA247" i="1"/>
  <c r="AA270" i="1"/>
  <c r="Z198" i="3"/>
  <c r="Z202" i="3"/>
  <c r="AA271" i="1" s="1"/>
  <c r="S149" i="3"/>
  <c r="S194" i="3"/>
  <c r="S148" i="3"/>
  <c r="S201" i="3"/>
  <c r="T270" i="1" s="1"/>
  <c r="AA244" i="1"/>
  <c r="T244" i="1"/>
  <c r="Z199" i="3"/>
  <c r="Z203" i="3"/>
  <c r="I201" i="3"/>
  <c r="J270" i="1" s="1"/>
  <c r="AA249" i="1"/>
  <c r="S178" i="3"/>
  <c r="AA245" i="1"/>
  <c r="S200" i="3"/>
  <c r="T269" i="1" s="1"/>
  <c r="S199" i="3"/>
  <c r="T268" i="1" s="1"/>
  <c r="S146" i="3"/>
  <c r="S179" i="3"/>
  <c r="S202" i="3" s="1"/>
  <c r="T271" i="1" s="1"/>
  <c r="I203" i="3"/>
  <c r="J272" i="1" s="1"/>
  <c r="I198" i="3"/>
  <c r="J267" i="1" s="1"/>
  <c r="S204" i="1"/>
  <c r="O204" i="1"/>
  <c r="O201" i="1"/>
  <c r="N64" i="3" s="1"/>
  <c r="S201" i="1"/>
  <c r="R64" i="3" s="1"/>
  <c r="F107" i="1"/>
  <c r="E77" i="3" s="1"/>
  <c r="H102" i="1"/>
  <c r="F102" i="1"/>
  <c r="AA272" i="1" l="1"/>
  <c r="AA268" i="1"/>
  <c r="AA267" i="1"/>
  <c r="S203" i="3"/>
  <c r="T272" i="1" s="1"/>
  <c r="S198" i="3"/>
  <c r="T267" i="1" s="1"/>
  <c r="F243" i="1"/>
  <c r="F242" i="1" s="1"/>
  <c r="F241" i="1" s="1"/>
  <c r="O207" i="1"/>
  <c r="S207" i="1"/>
  <c r="S205" i="1"/>
  <c r="O205" i="1"/>
  <c r="F159" i="1"/>
  <c r="E122" i="3" s="1"/>
  <c r="E121" i="3" s="1"/>
  <c r="F60" i="1"/>
  <c r="E33" i="3" s="1"/>
  <c r="S84" i="1"/>
  <c r="O84" i="1"/>
  <c r="S83" i="1"/>
  <c r="R57" i="3" s="1"/>
  <c r="O83" i="1"/>
  <c r="N57" i="3" s="1"/>
  <c r="S82" i="1"/>
  <c r="R56" i="3" s="1"/>
  <c r="O82" i="1"/>
  <c r="N56" i="3" s="1"/>
  <c r="H28" i="1"/>
  <c r="G124" i="3" s="1"/>
  <c r="G121" i="3" s="1"/>
  <c r="O49" i="1" l="1"/>
  <c r="N58" i="3"/>
  <c r="N22" i="3" s="1"/>
  <c r="S49" i="1"/>
  <c r="R58" i="3"/>
  <c r="R22" i="3" s="1"/>
  <c r="P238" i="1"/>
  <c r="P233" i="1" s="1"/>
  <c r="P232" i="1" s="1"/>
  <c r="G40" i="1"/>
  <c r="F183" i="3" s="1"/>
  <c r="F180" i="3" s="1"/>
  <c r="F178" i="3" s="1"/>
  <c r="F40" i="1"/>
  <c r="E183" i="3" s="1"/>
  <c r="N41" i="1"/>
  <c r="E41" i="1"/>
  <c r="M41" i="1" s="1"/>
  <c r="F41" i="1"/>
  <c r="D41" i="1"/>
  <c r="D20" i="1" s="1"/>
  <c r="C179" i="3"/>
  <c r="C181" i="3"/>
  <c r="D40" i="1"/>
  <c r="C47" i="3"/>
  <c r="C31" i="3" s="1"/>
  <c r="D57" i="1"/>
  <c r="N73" i="1"/>
  <c r="E73" i="1"/>
  <c r="S71" i="1"/>
  <c r="R45" i="3" s="1"/>
  <c r="O71" i="1"/>
  <c r="N45" i="3" s="1"/>
  <c r="E166" i="1"/>
  <c r="N179" i="1"/>
  <c r="N180" i="1"/>
  <c r="E179" i="1"/>
  <c r="E180" i="1"/>
  <c r="D179" i="1"/>
  <c r="C179" i="1"/>
  <c r="C180" i="1"/>
  <c r="D180" i="1"/>
  <c r="D166" i="1" s="1"/>
  <c r="B180" i="1"/>
  <c r="B179" i="1"/>
  <c r="C134" i="3"/>
  <c r="D54" i="1"/>
  <c r="C28" i="3"/>
  <c r="N98" i="1"/>
  <c r="E98" i="1"/>
  <c r="E97" i="1"/>
  <c r="P96" i="1"/>
  <c r="O73" i="3" s="1"/>
  <c r="F20" i="1" l="1"/>
  <c r="E184" i="3"/>
  <c r="E181" i="3" s="1"/>
  <c r="E179" i="3" s="1"/>
  <c r="N57" i="1"/>
  <c r="M47" i="3"/>
  <c r="Z73" i="1"/>
  <c r="N20" i="1"/>
  <c r="M184" i="3"/>
  <c r="E20" i="1"/>
  <c r="M20" i="1" s="1"/>
  <c r="D184" i="3"/>
  <c r="N54" i="1"/>
  <c r="Z54" i="1" s="1"/>
  <c r="M75" i="3"/>
  <c r="Z98" i="1"/>
  <c r="M144" i="3"/>
  <c r="Y144" i="3" s="1"/>
  <c r="Z179" i="1"/>
  <c r="E57" i="1"/>
  <c r="AB98" i="1"/>
  <c r="D47" i="3"/>
  <c r="D75" i="3"/>
  <c r="D145" i="3"/>
  <c r="D144" i="3"/>
  <c r="M145" i="3"/>
  <c r="Z180" i="1"/>
  <c r="AB41" i="1"/>
  <c r="AA184" i="3" s="1"/>
  <c r="AA181" i="3" s="1"/>
  <c r="AA179" i="3" s="1"/>
  <c r="E54" i="1"/>
  <c r="AB179" i="1"/>
  <c r="AA144" i="3" s="1"/>
  <c r="AB180" i="1"/>
  <c r="AA145" i="3" s="1"/>
  <c r="AA134" i="3" s="1"/>
  <c r="N166" i="1"/>
  <c r="Z166" i="1" s="1"/>
  <c r="AB73" i="1"/>
  <c r="AA47" i="3" s="1"/>
  <c r="AA31" i="3" s="1"/>
  <c r="S203" i="1"/>
  <c r="S202" i="1"/>
  <c r="R65" i="3" s="1"/>
  <c r="O203" i="1"/>
  <c r="O202" i="1"/>
  <c r="N65" i="3" s="1"/>
  <c r="N89" i="1"/>
  <c r="E89" i="1"/>
  <c r="N88" i="1"/>
  <c r="E88" i="1"/>
  <c r="C88" i="1"/>
  <c r="D88" i="1"/>
  <c r="C89" i="1"/>
  <c r="D89" i="1"/>
  <c r="B89" i="1"/>
  <c r="B88" i="1"/>
  <c r="S197" i="1" l="1"/>
  <c r="S245" i="1" s="1"/>
  <c r="R66" i="3"/>
  <c r="R29" i="3" s="1"/>
  <c r="R199" i="3" s="1"/>
  <c r="O197" i="1"/>
  <c r="O245" i="1" s="1"/>
  <c r="N66" i="3"/>
  <c r="N29" i="3" s="1"/>
  <c r="N199" i="3" s="1"/>
  <c r="M134" i="3"/>
  <c r="Y134" i="3" s="1"/>
  <c r="Y145" i="3"/>
  <c r="D181" i="3"/>
  <c r="L184" i="3"/>
  <c r="M181" i="3"/>
  <c r="M28" i="3"/>
  <c r="Y28" i="3" s="1"/>
  <c r="Y75" i="3"/>
  <c r="D28" i="3"/>
  <c r="D31" i="3"/>
  <c r="D134" i="3"/>
  <c r="AA75" i="3"/>
  <c r="AA28" i="3" s="1"/>
  <c r="AB54" i="1"/>
  <c r="M31" i="3"/>
  <c r="Y31" i="3" s="1"/>
  <c r="Y47" i="3"/>
  <c r="M63" i="3"/>
  <c r="Y63" i="3" s="1"/>
  <c r="Z89" i="1"/>
  <c r="D62" i="3"/>
  <c r="M62" i="3"/>
  <c r="Y62" i="3" s="1"/>
  <c r="Z88" i="1"/>
  <c r="AB89" i="1"/>
  <c r="AA63" i="3" s="1"/>
  <c r="AB57" i="1"/>
  <c r="AB166" i="1"/>
  <c r="AB20" i="1"/>
  <c r="D63" i="3"/>
  <c r="AB88" i="1"/>
  <c r="AA62" i="3" s="1"/>
  <c r="S107" i="1"/>
  <c r="R77" i="3" s="1"/>
  <c r="O107" i="1"/>
  <c r="N77" i="3" s="1"/>
  <c r="O268" i="1" l="1"/>
  <c r="S268" i="1"/>
  <c r="D179" i="3"/>
  <c r="L179" i="3" s="1"/>
  <c r="L181" i="3"/>
  <c r="M179" i="3"/>
  <c r="H43" i="1"/>
  <c r="G187" i="3" s="1"/>
  <c r="G185" i="3" s="1"/>
  <c r="F43" i="1"/>
  <c r="E187" i="3" s="1"/>
  <c r="E185" i="3" s="1"/>
  <c r="C29" i="3" l="1"/>
  <c r="N202" i="1"/>
  <c r="N203" i="1"/>
  <c r="E202" i="1"/>
  <c r="E203" i="1"/>
  <c r="E204" i="1"/>
  <c r="D203" i="1"/>
  <c r="D197" i="1" s="1"/>
  <c r="C202" i="1"/>
  <c r="D202" i="1"/>
  <c r="B202" i="1"/>
  <c r="C201" i="1"/>
  <c r="D66" i="3" l="1"/>
  <c r="D65" i="3"/>
  <c r="M66" i="3"/>
  <c r="Z203" i="1"/>
  <c r="M65" i="3"/>
  <c r="Y65" i="3" s="1"/>
  <c r="Z202" i="1"/>
  <c r="N197" i="1"/>
  <c r="Z197" i="1" s="1"/>
  <c r="E197" i="1"/>
  <c r="AB202" i="1"/>
  <c r="AA65" i="3" s="1"/>
  <c r="AB203" i="1"/>
  <c r="AA66" i="3" s="1"/>
  <c r="AA29" i="3" s="1"/>
  <c r="E201" i="1"/>
  <c r="N201" i="1"/>
  <c r="D201" i="1"/>
  <c r="B201" i="1"/>
  <c r="M29" i="3" l="1"/>
  <c r="Y29" i="3" s="1"/>
  <c r="Y66" i="3"/>
  <c r="M64" i="3"/>
  <c r="Y64" i="3" s="1"/>
  <c r="Z201" i="1"/>
  <c r="D64" i="3"/>
  <c r="D29" i="3"/>
  <c r="AB197" i="1"/>
  <c r="AB201" i="1"/>
  <c r="AA64" i="3" s="1"/>
  <c r="S45" i="1"/>
  <c r="O45" i="1"/>
  <c r="F45" i="1"/>
  <c r="E197" i="3" s="1"/>
  <c r="O19" i="1" l="1"/>
  <c r="O18" i="1" s="1"/>
  <c r="N197" i="3"/>
  <c r="N194" i="3" s="1"/>
  <c r="S19" i="1"/>
  <c r="S18" i="1" s="1"/>
  <c r="R197" i="3"/>
  <c r="R194" i="3" s="1"/>
  <c r="D183" i="1"/>
  <c r="D167" i="1" s="1"/>
  <c r="C182" i="1"/>
  <c r="D182" i="1"/>
  <c r="B182" i="1"/>
  <c r="N182" i="1"/>
  <c r="N183" i="1"/>
  <c r="E181" i="1"/>
  <c r="E182" i="1"/>
  <c r="E183" i="1"/>
  <c r="N140" i="1"/>
  <c r="N141" i="1"/>
  <c r="E140" i="1"/>
  <c r="E141" i="1"/>
  <c r="B141" i="1"/>
  <c r="C141" i="1"/>
  <c r="D141" i="1"/>
  <c r="D120" i="1" s="1"/>
  <c r="C140" i="1"/>
  <c r="D140" i="1"/>
  <c r="B140" i="1"/>
  <c r="C88" i="3"/>
  <c r="M112" i="3" l="1"/>
  <c r="N120" i="1"/>
  <c r="M113" i="3"/>
  <c r="D156" i="3"/>
  <c r="N167" i="1"/>
  <c r="Z167" i="1" s="1"/>
  <c r="M157" i="3"/>
  <c r="Z183" i="1"/>
  <c r="D112" i="3"/>
  <c r="L112" i="3" s="1"/>
  <c r="M140" i="1"/>
  <c r="E167" i="1"/>
  <c r="M156" i="3"/>
  <c r="Y156" i="3" s="1"/>
  <c r="Z182" i="1"/>
  <c r="D113" i="3"/>
  <c r="M141" i="1"/>
  <c r="D157" i="3"/>
  <c r="E120" i="1"/>
  <c r="M120" i="1" s="1"/>
  <c r="AB183" i="1"/>
  <c r="AA157" i="3" s="1"/>
  <c r="AA153" i="3" s="1"/>
  <c r="AA147" i="3" s="1"/>
  <c r="AB182" i="1"/>
  <c r="AA156" i="3" s="1"/>
  <c r="AB141" i="1"/>
  <c r="AA113" i="3" s="1"/>
  <c r="AA88" i="3" s="1"/>
  <c r="AB140" i="1"/>
  <c r="AA112" i="3" s="1"/>
  <c r="D113" i="1"/>
  <c r="M153" i="3" l="1"/>
  <c r="Y157" i="3"/>
  <c r="M88" i="3"/>
  <c r="D153" i="3"/>
  <c r="D88" i="3"/>
  <c r="L88" i="3" s="1"/>
  <c r="L113" i="3"/>
  <c r="AB167" i="1"/>
  <c r="AB120" i="1"/>
  <c r="D147" i="3" l="1"/>
  <c r="M147" i="3"/>
  <c r="Y153" i="3"/>
  <c r="S60" i="1"/>
  <c r="R33" i="3" s="1"/>
  <c r="O60" i="1"/>
  <c r="N33" i="3" s="1"/>
  <c r="Y147" i="3" l="1"/>
  <c r="F144" i="1"/>
  <c r="E117" i="3" s="1"/>
  <c r="O113" i="1" l="1"/>
  <c r="N83" i="3" s="1"/>
  <c r="N76" i="3" s="1"/>
  <c r="S113" i="1"/>
  <c r="N113" i="1"/>
  <c r="Z113" i="1" s="1"/>
  <c r="E113" i="1"/>
  <c r="E114" i="1"/>
  <c r="M114" i="1" s="1"/>
  <c r="C113" i="1"/>
  <c r="B113" i="1"/>
  <c r="S105" i="1" l="1"/>
  <c r="S104" i="1" s="1"/>
  <c r="R83" i="3"/>
  <c r="R76" i="3" s="1"/>
  <c r="O105" i="1"/>
  <c r="O104" i="1" s="1"/>
  <c r="AB113" i="1"/>
  <c r="C87" i="3" l="1"/>
  <c r="D119" i="1"/>
  <c r="N145" i="1"/>
  <c r="N146" i="1"/>
  <c r="N147" i="1"/>
  <c r="E147" i="1"/>
  <c r="E119" i="1" l="1"/>
  <c r="M119" i="1" s="1"/>
  <c r="M147" i="1"/>
  <c r="M120" i="3"/>
  <c r="M119" i="3"/>
  <c r="N117" i="1"/>
  <c r="N248" i="1" s="1"/>
  <c r="M118" i="3"/>
  <c r="N119" i="1"/>
  <c r="D120" i="3"/>
  <c r="AB147" i="1"/>
  <c r="AA120" i="3" s="1"/>
  <c r="AA87" i="3" s="1"/>
  <c r="M85" i="3" l="1"/>
  <c r="Z248" i="1"/>
  <c r="M87" i="3"/>
  <c r="D87" i="3"/>
  <c r="L87" i="3" s="1"/>
  <c r="L120" i="3"/>
  <c r="AB119" i="1"/>
  <c r="S90" i="1"/>
  <c r="R67" i="3" s="1"/>
  <c r="O90" i="1"/>
  <c r="N67" i="3" s="1"/>
  <c r="M202" i="3" l="1"/>
  <c r="N271" i="1" s="1"/>
  <c r="S181" i="1"/>
  <c r="R154" i="3" s="1"/>
  <c r="R152" i="3" s="1"/>
  <c r="O181" i="1"/>
  <c r="N154" i="3" s="1"/>
  <c r="N152" i="3" s="1"/>
  <c r="S159" i="1"/>
  <c r="O159" i="1"/>
  <c r="S101" i="1"/>
  <c r="O101" i="1"/>
  <c r="O156" i="1" l="1"/>
  <c r="O155" i="1" s="1"/>
  <c r="N122" i="3"/>
  <c r="N121" i="3" s="1"/>
  <c r="S156" i="1"/>
  <c r="S155" i="1" s="1"/>
  <c r="R122" i="3"/>
  <c r="R121" i="3" s="1"/>
  <c r="Y202" i="3"/>
  <c r="Z271" i="1" s="1"/>
  <c r="N90" i="1"/>
  <c r="Z90" i="1" s="1"/>
  <c r="N91" i="1"/>
  <c r="E90" i="1"/>
  <c r="E91" i="1"/>
  <c r="C90" i="1"/>
  <c r="B90" i="1"/>
  <c r="D68" i="3" l="1"/>
  <c r="M68" i="3"/>
  <c r="Y68" i="3" s="1"/>
  <c r="Z91" i="1"/>
  <c r="AB91" i="1"/>
  <c r="AA68" i="3" s="1"/>
  <c r="AB90" i="1"/>
  <c r="C167" i="3" l="1"/>
  <c r="C149" i="3" s="1"/>
  <c r="D171" i="3"/>
  <c r="D211" i="1"/>
  <c r="D199" i="1" s="1"/>
  <c r="E199" i="1"/>
  <c r="N211" i="1"/>
  <c r="D167" i="3" l="1"/>
  <c r="M171" i="3"/>
  <c r="Z211" i="1"/>
  <c r="AB211" i="1"/>
  <c r="AA171" i="3" s="1"/>
  <c r="AA167" i="3" s="1"/>
  <c r="AA149" i="3" s="1"/>
  <c r="N199" i="1"/>
  <c r="Z199" i="1" s="1"/>
  <c r="AB199" i="1"/>
  <c r="S209" i="1"/>
  <c r="O209" i="1"/>
  <c r="S196" i="1" l="1"/>
  <c r="S195" i="1" s="1"/>
  <c r="R169" i="3"/>
  <c r="O196" i="1"/>
  <c r="O195" i="1" s="1"/>
  <c r="N169" i="3"/>
  <c r="D149" i="3"/>
  <c r="M167" i="3"/>
  <c r="Y171" i="3"/>
  <c r="P193" i="1"/>
  <c r="P165" i="1" l="1"/>
  <c r="P164" i="1" s="1"/>
  <c r="O190" i="3"/>
  <c r="O188" i="3" s="1"/>
  <c r="O178" i="3" s="1"/>
  <c r="M149" i="3"/>
  <c r="Y149" i="3" s="1"/>
  <c r="Y167" i="3"/>
  <c r="E185" i="1"/>
  <c r="M185" i="1" s="1"/>
  <c r="N185" i="1"/>
  <c r="C185" i="1"/>
  <c r="D185" i="1"/>
  <c r="B185" i="1"/>
  <c r="F186" i="1"/>
  <c r="E161" i="3" s="1"/>
  <c r="E158" i="3" s="1"/>
  <c r="E146" i="3" s="1"/>
  <c r="M160" i="3" l="1"/>
  <c r="AB185" i="1"/>
  <c r="AA160" i="3" s="1"/>
  <c r="D160" i="3"/>
  <c r="L160" i="3" s="1"/>
  <c r="S177" i="1" l="1"/>
  <c r="R142" i="3" s="1"/>
  <c r="O177" i="1"/>
  <c r="N142" i="3" s="1"/>
  <c r="F26" i="1" l="1"/>
  <c r="E104" i="3" s="1"/>
  <c r="F25" i="1"/>
  <c r="E103" i="3" s="1"/>
  <c r="C205" i="1"/>
  <c r="B205" i="1"/>
  <c r="C208" i="1"/>
  <c r="B208" i="1"/>
  <c r="C207" i="1"/>
  <c r="B207" i="1"/>
  <c r="N208" i="1"/>
  <c r="Z208" i="1" s="1"/>
  <c r="E208" i="1"/>
  <c r="N207" i="1"/>
  <c r="Z207" i="1" s="1"/>
  <c r="E207" i="1"/>
  <c r="N205" i="1"/>
  <c r="E205" i="1"/>
  <c r="D67" i="3"/>
  <c r="C204" i="1"/>
  <c r="B204" i="1"/>
  <c r="S189" i="1"/>
  <c r="R174" i="3" s="1"/>
  <c r="O189" i="1"/>
  <c r="N174" i="3" s="1"/>
  <c r="N87" i="1"/>
  <c r="E87" i="1"/>
  <c r="C87" i="1"/>
  <c r="D87" i="1"/>
  <c r="B87" i="1"/>
  <c r="H39" i="1"/>
  <c r="F39" i="1"/>
  <c r="E182" i="3" s="1"/>
  <c r="E180" i="3" s="1"/>
  <c r="E178" i="3" s="1"/>
  <c r="C27" i="3"/>
  <c r="N97" i="1"/>
  <c r="B97" i="1"/>
  <c r="C97" i="1"/>
  <c r="D97" i="1"/>
  <c r="D55" i="1" s="1"/>
  <c r="C96" i="1"/>
  <c r="D96" i="1"/>
  <c r="B96" i="1"/>
  <c r="D74" i="3"/>
  <c r="N96" i="1"/>
  <c r="E96" i="1"/>
  <c r="C26" i="3"/>
  <c r="N72" i="1"/>
  <c r="E72" i="1"/>
  <c r="D72" i="1"/>
  <c r="D53" i="1" s="1"/>
  <c r="H19" i="1" l="1"/>
  <c r="H18" i="1" s="1"/>
  <c r="G182" i="3"/>
  <c r="G180" i="3" s="1"/>
  <c r="G178" i="3" s="1"/>
  <c r="E53" i="1"/>
  <c r="M61" i="3"/>
  <c r="Y61" i="3" s="1"/>
  <c r="Z87" i="1"/>
  <c r="D83" i="3"/>
  <c r="N55" i="1"/>
  <c r="Z55" i="1" s="1"/>
  <c r="M74" i="3"/>
  <c r="Z97" i="1"/>
  <c r="N53" i="1"/>
  <c r="Z53" i="1" s="1"/>
  <c r="M46" i="3"/>
  <c r="Z72" i="1"/>
  <c r="D73" i="3"/>
  <c r="M83" i="3"/>
  <c r="Y83" i="3" s="1"/>
  <c r="Z205" i="1"/>
  <c r="M73" i="3"/>
  <c r="Y73" i="3" s="1"/>
  <c r="Z96" i="1"/>
  <c r="D27" i="3"/>
  <c r="AB207" i="1"/>
  <c r="D61" i="3"/>
  <c r="AB208" i="1"/>
  <c r="AB205" i="1"/>
  <c r="AA83" i="3" s="1"/>
  <c r="N204" i="1"/>
  <c r="AB87" i="1"/>
  <c r="AA61" i="3" s="1"/>
  <c r="E55" i="1"/>
  <c r="AB96" i="1"/>
  <c r="AA73" i="3" s="1"/>
  <c r="AB97" i="1"/>
  <c r="AA74" i="3" s="1"/>
  <c r="AA27" i="3" s="1"/>
  <c r="AB72" i="1"/>
  <c r="D46" i="3"/>
  <c r="B93" i="1"/>
  <c r="C93" i="1"/>
  <c r="D93" i="1"/>
  <c r="D52" i="1" s="1"/>
  <c r="C92" i="1"/>
  <c r="D92" i="1"/>
  <c r="B92" i="1"/>
  <c r="C25" i="3"/>
  <c r="M26" i="3" l="1"/>
  <c r="Y26" i="3" s="1"/>
  <c r="Y46" i="3"/>
  <c r="M27" i="3"/>
  <c r="Y27" i="3" s="1"/>
  <c r="Y74" i="3"/>
  <c r="D26" i="3"/>
  <c r="AB53" i="1"/>
  <c r="AA46" i="3"/>
  <c r="AA26" i="3" s="1"/>
  <c r="M67" i="3"/>
  <c r="Y67" i="3" s="1"/>
  <c r="Z204" i="1"/>
  <c r="AB204" i="1"/>
  <c r="AA67" i="3" s="1"/>
  <c r="AB55" i="1"/>
  <c r="D85" i="1"/>
  <c r="N93" i="1"/>
  <c r="E93" i="1"/>
  <c r="N92" i="1"/>
  <c r="E92" i="1"/>
  <c r="F22" i="1"/>
  <c r="E19" i="3" s="1"/>
  <c r="D69" i="3" l="1"/>
  <c r="M69" i="3"/>
  <c r="Y69" i="3" s="1"/>
  <c r="Z92" i="1"/>
  <c r="N52" i="1"/>
  <c r="Z52" i="1" s="1"/>
  <c r="M70" i="3"/>
  <c r="Z93" i="1"/>
  <c r="AB93" i="1"/>
  <c r="AA70" i="3" s="1"/>
  <c r="AA25" i="3" s="1"/>
  <c r="E52" i="1"/>
  <c r="D70" i="3"/>
  <c r="AB92" i="1"/>
  <c r="AA69" i="3" s="1"/>
  <c r="D25" i="3" l="1"/>
  <c r="M25" i="3"/>
  <c r="Y25" i="3" s="1"/>
  <c r="Y70" i="3"/>
  <c r="AB52" i="1"/>
  <c r="C154" i="1"/>
  <c r="D154" i="1"/>
  <c r="B154" i="1"/>
  <c r="E154" i="1"/>
  <c r="F153" i="1"/>
  <c r="E100" i="3" s="1"/>
  <c r="F152" i="1"/>
  <c r="E99" i="3" s="1"/>
  <c r="E84" i="3" s="1"/>
  <c r="H132" i="1"/>
  <c r="G102" i="3" s="1"/>
  <c r="G132" i="1"/>
  <c r="F102" i="3" s="1"/>
  <c r="F84" i="3" s="1"/>
  <c r="F132" i="1"/>
  <c r="E102" i="3" s="1"/>
  <c r="H143" i="1"/>
  <c r="G143" i="1"/>
  <c r="F116" i="3" s="1"/>
  <c r="F143" i="1"/>
  <c r="E116" i="3" s="1"/>
  <c r="H116" i="1" l="1"/>
  <c r="H115" i="1" s="1"/>
  <c r="G116" i="3"/>
  <c r="G84" i="3" s="1"/>
  <c r="D101" i="3"/>
  <c r="L101" i="3" s="1"/>
  <c r="M154" i="1"/>
  <c r="AB154" i="1"/>
  <c r="AA101" i="3" s="1"/>
  <c r="C24" i="3"/>
  <c r="C23" i="3"/>
  <c r="C22" i="3"/>
  <c r="N94" i="1"/>
  <c r="N95" i="1"/>
  <c r="E94" i="1"/>
  <c r="M94" i="1" s="1"/>
  <c r="E95" i="1"/>
  <c r="B95" i="1"/>
  <c r="C95" i="1"/>
  <c r="D95" i="1"/>
  <c r="D51" i="1" s="1"/>
  <c r="C94" i="1"/>
  <c r="D94" i="1"/>
  <c r="B94" i="1"/>
  <c r="E83" i="1"/>
  <c r="E84" i="1"/>
  <c r="E85" i="1"/>
  <c r="M85" i="1" s="1"/>
  <c r="E86" i="1"/>
  <c r="N85" i="1"/>
  <c r="N86" i="1"/>
  <c r="B86" i="1"/>
  <c r="C86" i="1"/>
  <c r="D86" i="1"/>
  <c r="D50" i="1" s="1"/>
  <c r="C85" i="1"/>
  <c r="B85" i="1"/>
  <c r="N83" i="1"/>
  <c r="N84" i="1"/>
  <c r="D84" i="1"/>
  <c r="D49" i="1" s="1"/>
  <c r="C83" i="1"/>
  <c r="D83" i="1"/>
  <c r="B83" i="1"/>
  <c r="C82" i="1"/>
  <c r="D82" i="1"/>
  <c r="B82" i="1"/>
  <c r="N82" i="1"/>
  <c r="E82" i="1"/>
  <c r="M82" i="1" s="1"/>
  <c r="F109" i="1"/>
  <c r="E79" i="3" s="1"/>
  <c r="F112" i="1"/>
  <c r="E82" i="3" s="1"/>
  <c r="E76" i="3" l="1"/>
  <c r="M72" i="3"/>
  <c r="D60" i="3"/>
  <c r="M86" i="1"/>
  <c r="E51" i="1"/>
  <c r="M51" i="1" s="1"/>
  <c r="M95" i="1"/>
  <c r="D58" i="3"/>
  <c r="M84" i="1"/>
  <c r="M60" i="3"/>
  <c r="M59" i="3"/>
  <c r="D57" i="3"/>
  <c r="L57" i="3" s="1"/>
  <c r="M83" i="1"/>
  <c r="M57" i="3"/>
  <c r="Y57" i="3" s="1"/>
  <c r="Z83" i="1"/>
  <c r="M71" i="3"/>
  <c r="N49" i="1"/>
  <c r="Z49" i="1" s="1"/>
  <c r="M58" i="3"/>
  <c r="Z84" i="1"/>
  <c r="M56" i="3"/>
  <c r="Y56" i="3" s="1"/>
  <c r="N51" i="1"/>
  <c r="D72" i="3"/>
  <c r="N50" i="1"/>
  <c r="F105" i="1"/>
  <c r="F104" i="1" s="1"/>
  <c r="AB94" i="1"/>
  <c r="AA71" i="3" s="1"/>
  <c r="D71" i="3"/>
  <c r="L71" i="3" s="1"/>
  <c r="E49" i="1"/>
  <c r="M49" i="1" s="1"/>
  <c r="E50" i="1"/>
  <c r="M50" i="1" s="1"/>
  <c r="AB85" i="1"/>
  <c r="AA59" i="3" s="1"/>
  <c r="D59" i="3"/>
  <c r="L59" i="3" s="1"/>
  <c r="AB95" i="1"/>
  <c r="AA72" i="3" s="1"/>
  <c r="AA24" i="3" s="1"/>
  <c r="D56" i="3"/>
  <c r="L56" i="3" s="1"/>
  <c r="AB86" i="1"/>
  <c r="AA60" i="3" s="1"/>
  <c r="AA23" i="3" s="1"/>
  <c r="AB84" i="1"/>
  <c r="AA58" i="3" s="1"/>
  <c r="AA22" i="3" s="1"/>
  <c r="AB83" i="1"/>
  <c r="AA57" i="3" s="1"/>
  <c r="AB82" i="1"/>
  <c r="AA56" i="3" s="1"/>
  <c r="C30" i="3"/>
  <c r="D22" i="3" l="1"/>
  <c r="L22" i="3" s="1"/>
  <c r="L58" i="3"/>
  <c r="M23" i="3"/>
  <c r="D23" i="3"/>
  <c r="L23" i="3" s="1"/>
  <c r="L60" i="3"/>
  <c r="M22" i="3"/>
  <c r="Y22" i="3" s="1"/>
  <c r="Y58" i="3"/>
  <c r="D24" i="3"/>
  <c r="L24" i="3" s="1"/>
  <c r="L72" i="3"/>
  <c r="M24" i="3"/>
  <c r="AB50" i="1"/>
  <c r="AB51" i="1"/>
  <c r="AB49" i="1"/>
  <c r="F31" i="1" l="1"/>
  <c r="E129" i="3" s="1"/>
  <c r="F30" i="1"/>
  <c r="E128" i="3" s="1"/>
  <c r="F29" i="1"/>
  <c r="E127" i="3" s="1"/>
  <c r="S178" i="1" l="1"/>
  <c r="O178" i="1"/>
  <c r="O165" i="1" l="1"/>
  <c r="O164" i="1" s="1"/>
  <c r="N143" i="3"/>
  <c r="N133" i="3" s="1"/>
  <c r="S165" i="1"/>
  <c r="S164" i="1" s="1"/>
  <c r="R143" i="3"/>
  <c r="R133" i="3" s="1"/>
  <c r="F194" i="1"/>
  <c r="E196" i="3" s="1"/>
  <c r="E195" i="3" s="1"/>
  <c r="E194" i="3" s="1"/>
  <c r="G168" i="1" l="1"/>
  <c r="G165" i="1" s="1"/>
  <c r="G164" i="1" s="1"/>
  <c r="G225" i="1"/>
  <c r="G224" i="1" s="1"/>
  <c r="G223" i="1" s="1"/>
  <c r="F225" i="1"/>
  <c r="F224" i="1" s="1"/>
  <c r="F223" i="1" s="1"/>
  <c r="F168" i="1"/>
  <c r="G21" i="1"/>
  <c r="F21" i="1"/>
  <c r="G19" i="1" l="1"/>
  <c r="G18" i="1" s="1"/>
  <c r="F175" i="1"/>
  <c r="E139" i="3" s="1"/>
  <c r="E137" i="1" l="1"/>
  <c r="E136" i="1"/>
  <c r="B137" i="1"/>
  <c r="C137" i="1"/>
  <c r="D137" i="1"/>
  <c r="C136" i="1"/>
  <c r="D136" i="1"/>
  <c r="B136" i="1"/>
  <c r="E130" i="1"/>
  <c r="E129" i="1"/>
  <c r="E128" i="1"/>
  <c r="E127" i="1"/>
  <c r="B128" i="1"/>
  <c r="C128" i="1"/>
  <c r="D128" i="1"/>
  <c r="B129" i="1"/>
  <c r="C129" i="1"/>
  <c r="D129" i="1"/>
  <c r="B130" i="1"/>
  <c r="C130" i="1"/>
  <c r="D130" i="1"/>
  <c r="C127" i="1"/>
  <c r="D127" i="1"/>
  <c r="B127" i="1"/>
  <c r="F145" i="1"/>
  <c r="E118" i="3" s="1"/>
  <c r="E85" i="3" s="1"/>
  <c r="E202" i="3" s="1"/>
  <c r="D145" i="1"/>
  <c r="F178" i="1"/>
  <c r="E75" i="1"/>
  <c r="F74" i="1"/>
  <c r="E48" i="3" s="1"/>
  <c r="G74" i="1"/>
  <c r="F48" i="3" s="1"/>
  <c r="S74" i="1"/>
  <c r="R48" i="3" s="1"/>
  <c r="R74" i="1"/>
  <c r="Q48" i="3" s="1"/>
  <c r="Q74" i="1"/>
  <c r="P48" i="3" s="1"/>
  <c r="P74" i="1"/>
  <c r="O48" i="3" s="1"/>
  <c r="O74" i="1"/>
  <c r="N48" i="3" s="1"/>
  <c r="N74" i="1"/>
  <c r="I74" i="1"/>
  <c r="H48" i="3" s="1"/>
  <c r="H74" i="1"/>
  <c r="G48" i="3" s="1"/>
  <c r="B75" i="1"/>
  <c r="C75" i="1"/>
  <c r="D75" i="1"/>
  <c r="C74" i="1"/>
  <c r="D74" i="1"/>
  <c r="B74" i="1"/>
  <c r="S68" i="1"/>
  <c r="R41" i="3" s="1"/>
  <c r="R68" i="1"/>
  <c r="Q41" i="3" s="1"/>
  <c r="Q68" i="1"/>
  <c r="P41" i="3" s="1"/>
  <c r="P68" i="1"/>
  <c r="O41" i="3" s="1"/>
  <c r="O68" i="1"/>
  <c r="N41" i="3" s="1"/>
  <c r="N68" i="1"/>
  <c r="I68" i="1"/>
  <c r="H41" i="3" s="1"/>
  <c r="H68" i="1"/>
  <c r="G41" i="3" s="1"/>
  <c r="G68" i="1"/>
  <c r="F41" i="3" s="1"/>
  <c r="F68" i="1"/>
  <c r="E41" i="3" s="1"/>
  <c r="E69" i="1"/>
  <c r="B69" i="1"/>
  <c r="C69" i="1"/>
  <c r="D69" i="1"/>
  <c r="C68" i="1"/>
  <c r="D68" i="1"/>
  <c r="B68" i="1"/>
  <c r="G66" i="1"/>
  <c r="F39" i="3" s="1"/>
  <c r="H66" i="1"/>
  <c r="G39" i="3" s="1"/>
  <c r="I66" i="1"/>
  <c r="O66" i="1"/>
  <c r="P66" i="1"/>
  <c r="O39" i="3" s="1"/>
  <c r="Q66" i="1"/>
  <c r="R66" i="1"/>
  <c r="S66" i="1"/>
  <c r="F66" i="1"/>
  <c r="E39" i="3" s="1"/>
  <c r="E67" i="1"/>
  <c r="M67" i="1" s="1"/>
  <c r="N67" i="1"/>
  <c r="B67" i="1"/>
  <c r="C67" i="1"/>
  <c r="D67" i="1"/>
  <c r="C66" i="1"/>
  <c r="D66" i="1"/>
  <c r="B66" i="1"/>
  <c r="G63" i="1"/>
  <c r="F36" i="3" s="1"/>
  <c r="F20" i="3" s="1"/>
  <c r="H63" i="1"/>
  <c r="F63" i="1"/>
  <c r="E36" i="3" s="1"/>
  <c r="N64" i="1"/>
  <c r="E64" i="1"/>
  <c r="N80" i="1"/>
  <c r="E80" i="1"/>
  <c r="N79" i="1"/>
  <c r="E79" i="1"/>
  <c r="M79" i="1" s="1"/>
  <c r="D80" i="1"/>
  <c r="C79" i="1"/>
  <c r="D79" i="1"/>
  <c r="B79" i="1"/>
  <c r="D63" i="1"/>
  <c r="N65" i="1"/>
  <c r="E65" i="1"/>
  <c r="M65" i="1" s="1"/>
  <c r="N63" i="1"/>
  <c r="C63" i="1"/>
  <c r="B63" i="1"/>
  <c r="E20" i="3" l="1"/>
  <c r="F165" i="1"/>
  <c r="F164" i="1" s="1"/>
  <c r="E143" i="3"/>
  <c r="E133" i="3" s="1"/>
  <c r="E63" i="1"/>
  <c r="D95" i="3"/>
  <c r="L95" i="3" s="1"/>
  <c r="M128" i="1"/>
  <c r="D37" i="3"/>
  <c r="L37" i="3" s="1"/>
  <c r="M64" i="1"/>
  <c r="N56" i="1"/>
  <c r="N247" i="1" s="1"/>
  <c r="M38" i="3"/>
  <c r="AB127" i="1"/>
  <c r="AA94" i="3" s="1"/>
  <c r="M127" i="1"/>
  <c r="AB129" i="1"/>
  <c r="AA96" i="3" s="1"/>
  <c r="M129" i="1"/>
  <c r="H47" i="1"/>
  <c r="H46" i="1" s="1"/>
  <c r="G36" i="3"/>
  <c r="G20" i="3" s="1"/>
  <c r="M40" i="3"/>
  <c r="AB130" i="1"/>
  <c r="AA97" i="3" s="1"/>
  <c r="M130" i="1"/>
  <c r="O47" i="1"/>
  <c r="O46" i="1" s="1"/>
  <c r="N39" i="3"/>
  <c r="N20" i="3" s="1"/>
  <c r="M36" i="3"/>
  <c r="S47" i="1"/>
  <c r="S46" i="1" s="1"/>
  <c r="R39" i="3"/>
  <c r="R20" i="3" s="1"/>
  <c r="I47" i="1"/>
  <c r="I46" i="1" s="1"/>
  <c r="H39" i="3"/>
  <c r="H20" i="3" s="1"/>
  <c r="D49" i="3"/>
  <c r="L49" i="3" s="1"/>
  <c r="M75" i="1"/>
  <c r="M54" i="3"/>
  <c r="R47" i="1"/>
  <c r="R46" i="1" s="1"/>
  <c r="R244" i="1" s="1"/>
  <c r="Q39" i="3"/>
  <c r="Q20" i="3" s="1"/>
  <c r="Q198" i="3" s="1"/>
  <c r="AB69" i="1"/>
  <c r="AA42" i="3" s="1"/>
  <c r="M69" i="1"/>
  <c r="D36" i="3"/>
  <c r="L36" i="3" s="1"/>
  <c r="M63" i="1"/>
  <c r="M41" i="3"/>
  <c r="D108" i="3"/>
  <c r="L108" i="3" s="1"/>
  <c r="M136" i="1"/>
  <c r="M48" i="3"/>
  <c r="M37" i="3"/>
  <c r="Q47" i="1"/>
  <c r="Q46" i="1" s="1"/>
  <c r="Q244" i="1" s="1"/>
  <c r="P39" i="3"/>
  <c r="P20" i="3" s="1"/>
  <c r="P198" i="3" s="1"/>
  <c r="Q267" i="1" s="1"/>
  <c r="M53" i="3"/>
  <c r="D54" i="3"/>
  <c r="L54" i="3" s="1"/>
  <c r="M80" i="1"/>
  <c r="D109" i="3"/>
  <c r="L109" i="3" s="1"/>
  <c r="M137" i="1"/>
  <c r="E145" i="1"/>
  <c r="E117" i="1" s="1"/>
  <c r="F117" i="1"/>
  <c r="F248" i="1" s="1"/>
  <c r="F271" i="1" s="1"/>
  <c r="F47" i="1"/>
  <c r="F46" i="1" s="1"/>
  <c r="G47" i="1"/>
  <c r="G46" i="1" s="1"/>
  <c r="N48" i="1"/>
  <c r="Z48" i="1" s="1"/>
  <c r="E48" i="1"/>
  <c r="M48" i="1" s="1"/>
  <c r="N66" i="1"/>
  <c r="AB137" i="1"/>
  <c r="AA109" i="3" s="1"/>
  <c r="D96" i="3"/>
  <c r="L96" i="3" s="1"/>
  <c r="E74" i="1"/>
  <c r="AB128" i="1"/>
  <c r="AA95" i="3" s="1"/>
  <c r="D97" i="3"/>
  <c r="L97" i="3" s="1"/>
  <c r="AB136" i="1"/>
  <c r="AA108" i="3" s="1"/>
  <c r="D94" i="3"/>
  <c r="L94" i="3" s="1"/>
  <c r="AB75" i="1"/>
  <c r="AA49" i="3" s="1"/>
  <c r="AB79" i="1"/>
  <c r="AA53" i="3" s="1"/>
  <c r="E56" i="1"/>
  <c r="D53" i="3"/>
  <c r="L53" i="3" s="1"/>
  <c r="E68" i="1"/>
  <c r="M68" i="1" s="1"/>
  <c r="AB67" i="1"/>
  <c r="AA40" i="3" s="1"/>
  <c r="D42" i="3"/>
  <c r="L42" i="3" s="1"/>
  <c r="E66" i="1"/>
  <c r="M66" i="1" s="1"/>
  <c r="D40" i="3"/>
  <c r="L40" i="3" s="1"/>
  <c r="AB64" i="1"/>
  <c r="AA37" i="3" s="1"/>
  <c r="D38" i="3"/>
  <c r="AB80" i="1"/>
  <c r="AA54" i="3" s="1"/>
  <c r="AB65" i="1"/>
  <c r="AA38" i="3" s="1"/>
  <c r="AA30" i="3" s="1"/>
  <c r="AA201" i="3" s="1"/>
  <c r="AB63" i="1"/>
  <c r="AA36" i="3" s="1"/>
  <c r="R267" i="1" l="1"/>
  <c r="E248" i="1"/>
  <c r="M248" i="1" s="1"/>
  <c r="M117" i="1"/>
  <c r="D30" i="3"/>
  <c r="L38" i="3"/>
  <c r="M30" i="3"/>
  <c r="D118" i="3"/>
  <c r="L118" i="3" s="1"/>
  <c r="Z247" i="1"/>
  <c r="M21" i="3"/>
  <c r="Y21" i="3" s="1"/>
  <c r="AB74" i="1"/>
  <c r="AA48" i="3" s="1"/>
  <c r="M74" i="1"/>
  <c r="AA21" i="3"/>
  <c r="AB145" i="1"/>
  <c r="AA118" i="3" s="1"/>
  <c r="AA85" i="3" s="1"/>
  <c r="AA202" i="3" s="1"/>
  <c r="M145" i="1"/>
  <c r="E247" i="1"/>
  <c r="M247" i="1" s="1"/>
  <c r="M56" i="1"/>
  <c r="M39" i="3"/>
  <c r="AB48" i="1"/>
  <c r="D21" i="3"/>
  <c r="L21" i="3" s="1"/>
  <c r="D48" i="3"/>
  <c r="L48" i="3" s="1"/>
  <c r="AB56" i="1"/>
  <c r="AB247" i="1" s="1"/>
  <c r="D41" i="3"/>
  <c r="L41" i="3" s="1"/>
  <c r="AB68" i="1"/>
  <c r="AA41" i="3" s="1"/>
  <c r="D39" i="3"/>
  <c r="L39" i="3" s="1"/>
  <c r="AB66" i="1"/>
  <c r="AA39" i="3" s="1"/>
  <c r="D201" i="3" l="1"/>
  <c r="L30" i="3"/>
  <c r="AB117" i="1"/>
  <c r="AB248" i="1" s="1"/>
  <c r="M201" i="3"/>
  <c r="N270" i="1" s="1"/>
  <c r="D85" i="3"/>
  <c r="AB271" i="1"/>
  <c r="AB270" i="1"/>
  <c r="I175" i="1"/>
  <c r="H175" i="1"/>
  <c r="H165" i="1" l="1"/>
  <c r="H164" i="1" s="1"/>
  <c r="H244" i="1" s="1"/>
  <c r="G139" i="3"/>
  <c r="G133" i="3" s="1"/>
  <c r="G198" i="3" s="1"/>
  <c r="I165" i="1"/>
  <c r="I164" i="1" s="1"/>
  <c r="I244" i="1" s="1"/>
  <c r="H139" i="3"/>
  <c r="H133" i="3" s="1"/>
  <c r="H198" i="3" s="1"/>
  <c r="L201" i="3"/>
  <c r="M270" i="1" s="1"/>
  <c r="E270" i="1"/>
  <c r="Y201" i="3"/>
  <c r="Z270" i="1" s="1"/>
  <c r="D202" i="3"/>
  <c r="E271" i="1" s="1"/>
  <c r="L85" i="3"/>
  <c r="D148" i="1"/>
  <c r="C237" i="1"/>
  <c r="D243" i="1"/>
  <c r="C243" i="1"/>
  <c r="B243" i="1"/>
  <c r="C240" i="1"/>
  <c r="D240" i="1"/>
  <c r="B240" i="1"/>
  <c r="C192" i="1"/>
  <c r="D192" i="1"/>
  <c r="B192" i="1"/>
  <c r="D190" i="1"/>
  <c r="C190" i="1"/>
  <c r="B190" i="1"/>
  <c r="D169" i="1"/>
  <c r="C169" i="1"/>
  <c r="B169" i="1"/>
  <c r="D158" i="1"/>
  <c r="C158" i="1"/>
  <c r="B158" i="1"/>
  <c r="D153" i="1"/>
  <c r="C152" i="1"/>
  <c r="C153" i="1"/>
  <c r="B153" i="1"/>
  <c r="D152" i="1"/>
  <c r="B152" i="1"/>
  <c r="D103" i="1"/>
  <c r="C103" i="1"/>
  <c r="B103" i="1"/>
  <c r="D102" i="1"/>
  <c r="C102" i="1"/>
  <c r="B102" i="1"/>
  <c r="C101" i="1"/>
  <c r="B101" i="1"/>
  <c r="D100" i="1"/>
  <c r="C100" i="1"/>
  <c r="B100" i="1"/>
  <c r="B99" i="1"/>
  <c r="D81" i="1"/>
  <c r="C78" i="1"/>
  <c r="C81" i="1"/>
  <c r="B81" i="1"/>
  <c r="D77" i="1"/>
  <c r="D78" i="1"/>
  <c r="C77" i="1"/>
  <c r="B77" i="1"/>
  <c r="B78" i="1"/>
  <c r="D76" i="1"/>
  <c r="C76" i="1"/>
  <c r="B76" i="1"/>
  <c r="C71" i="1"/>
  <c r="D71" i="1"/>
  <c r="B71" i="1"/>
  <c r="C70" i="1"/>
  <c r="D70" i="1"/>
  <c r="B70" i="1"/>
  <c r="C62" i="1"/>
  <c r="D62" i="1"/>
  <c r="B62" i="1"/>
  <c r="D61" i="1"/>
  <c r="C61" i="1"/>
  <c r="B61" i="1"/>
  <c r="D28" i="1"/>
  <c r="C28" i="1"/>
  <c r="B27" i="1"/>
  <c r="D26" i="1"/>
  <c r="C26" i="1"/>
  <c r="B26" i="1"/>
  <c r="H267" i="1" l="1"/>
  <c r="I267" i="1"/>
  <c r="L202" i="3"/>
  <c r="M271" i="1" s="1"/>
  <c r="G234" i="1"/>
  <c r="G233" i="1" s="1"/>
  <c r="G232" i="1" s="1"/>
  <c r="F234" i="1"/>
  <c r="F233" i="1" s="1"/>
  <c r="F232" i="1" s="1"/>
  <c r="G121" i="1"/>
  <c r="F121" i="1"/>
  <c r="F116" i="1" l="1"/>
  <c r="F115" i="1" s="1"/>
  <c r="G116" i="1"/>
  <c r="G115" i="1" s="1"/>
  <c r="G157" i="1"/>
  <c r="G156" i="1" s="1"/>
  <c r="G155" i="1" s="1"/>
  <c r="F157" i="1"/>
  <c r="F156" i="1" s="1"/>
  <c r="F155" i="1" s="1"/>
  <c r="G151" i="1"/>
  <c r="G150" i="1" s="1"/>
  <c r="G149" i="1" s="1"/>
  <c r="F151" i="1"/>
  <c r="F150" i="1" s="1"/>
  <c r="F149" i="1" s="1"/>
  <c r="G214" i="1" l="1"/>
  <c r="G213" i="1" s="1"/>
  <c r="G212" i="1" s="1"/>
  <c r="G244" i="1" s="1"/>
  <c r="F214" i="1"/>
  <c r="F213" i="1" s="1"/>
  <c r="F212" i="1" s="1"/>
  <c r="P71" i="1"/>
  <c r="P47" i="1" l="1"/>
  <c r="P46" i="1" s="1"/>
  <c r="P244" i="1" s="1"/>
  <c r="O45" i="3"/>
  <c r="O20" i="3" s="1"/>
  <c r="O198" i="3" s="1"/>
  <c r="P267" i="1" s="1"/>
  <c r="E18" i="3"/>
  <c r="E17" i="3" s="1"/>
  <c r="F18" i="3"/>
  <c r="F17" i="3" s="1"/>
  <c r="F198" i="3" s="1"/>
  <c r="G267" i="1" s="1"/>
  <c r="N71" i="1"/>
  <c r="M45" i="3" l="1"/>
  <c r="Y45" i="3" s="1"/>
  <c r="Z71" i="1"/>
  <c r="N131" i="1"/>
  <c r="M98" i="3" l="1"/>
  <c r="C230" i="1"/>
  <c r="D230" i="1"/>
  <c r="B230" i="1"/>
  <c r="N230" i="1"/>
  <c r="Z230" i="1" s="1"/>
  <c r="E230" i="1"/>
  <c r="N135" i="1"/>
  <c r="E135" i="1"/>
  <c r="C132" i="1"/>
  <c r="D132" i="1"/>
  <c r="B132" i="1"/>
  <c r="N132" i="1"/>
  <c r="E132" i="1"/>
  <c r="D107" i="3" l="1"/>
  <c r="L107" i="3" s="1"/>
  <c r="M135" i="1"/>
  <c r="D102" i="3"/>
  <c r="L102" i="3" s="1"/>
  <c r="M132" i="1"/>
  <c r="M107" i="3"/>
  <c r="M102" i="3"/>
  <c r="N118" i="1"/>
  <c r="AB230" i="1"/>
  <c r="AB135" i="1"/>
  <c r="AA107" i="3" s="1"/>
  <c r="AB132" i="1"/>
  <c r="AA102" i="3" s="1"/>
  <c r="F32" i="1"/>
  <c r="E177" i="1"/>
  <c r="C177" i="1"/>
  <c r="B177" i="1"/>
  <c r="N177" i="1"/>
  <c r="F19" i="1" l="1"/>
  <c r="F18" i="1" s="1"/>
  <c r="F244" i="1" s="1"/>
  <c r="E130" i="3"/>
  <c r="E126" i="3" s="1"/>
  <c r="E198" i="3" s="1"/>
  <c r="M142" i="3"/>
  <c r="Y142" i="3" s="1"/>
  <c r="Z177" i="1"/>
  <c r="M86" i="3"/>
  <c r="D142" i="3"/>
  <c r="N246" i="1"/>
  <c r="N245" i="1"/>
  <c r="AB177" i="1"/>
  <c r="AA142" i="3" s="1"/>
  <c r="N29" i="1"/>
  <c r="F267" i="1" l="1"/>
  <c r="Z245" i="1"/>
  <c r="M200" i="3"/>
  <c r="M199" i="3"/>
  <c r="M127" i="3"/>
  <c r="E146" i="1"/>
  <c r="Y199" i="3" l="1"/>
  <c r="Z268" i="1" s="1"/>
  <c r="N268" i="1"/>
  <c r="Z269" i="1"/>
  <c r="N269" i="1"/>
  <c r="E118" i="1"/>
  <c r="M146" i="1"/>
  <c r="E245" i="1"/>
  <c r="M245" i="1" s="1"/>
  <c r="M118" i="1"/>
  <c r="E246" i="1"/>
  <c r="M246" i="1" s="1"/>
  <c r="D119" i="3"/>
  <c r="AB146" i="1"/>
  <c r="AB118" i="1" l="1"/>
  <c r="AB245" i="1" s="1"/>
  <c r="AA119" i="3"/>
  <c r="AA86" i="3" s="1"/>
  <c r="D86" i="3"/>
  <c r="L119" i="3"/>
  <c r="D200" i="3"/>
  <c r="E269" i="1" s="1"/>
  <c r="AB246" i="1"/>
  <c r="AA200" i="3" l="1"/>
  <c r="AA199" i="3"/>
  <c r="L200" i="3"/>
  <c r="M269" i="1" s="1"/>
  <c r="D199" i="3"/>
  <c r="E268" i="1" s="1"/>
  <c r="L86" i="3"/>
  <c r="AB268" i="1"/>
  <c r="AB269" i="1"/>
  <c r="C187" i="1"/>
  <c r="D187" i="1"/>
  <c r="B187" i="1"/>
  <c r="E186" i="1"/>
  <c r="M186" i="1" s="1"/>
  <c r="C186" i="1"/>
  <c r="D186" i="1"/>
  <c r="B186" i="1"/>
  <c r="N187" i="1"/>
  <c r="E187" i="1"/>
  <c r="M187" i="1" s="1"/>
  <c r="N186" i="1"/>
  <c r="N184" i="1"/>
  <c r="E184" i="1"/>
  <c r="C184" i="1"/>
  <c r="D184" i="1"/>
  <c r="B184" i="1"/>
  <c r="N178" i="1"/>
  <c r="E178" i="1"/>
  <c r="M178" i="1" s="1"/>
  <c r="C178" i="1"/>
  <c r="D178" i="1"/>
  <c r="B178" i="1"/>
  <c r="N172" i="1"/>
  <c r="E172" i="1"/>
  <c r="M172" i="1" s="1"/>
  <c r="C172" i="1"/>
  <c r="D172" i="1"/>
  <c r="B172" i="1"/>
  <c r="E134" i="1"/>
  <c r="M134" i="1" s="1"/>
  <c r="E133" i="1"/>
  <c r="C133" i="1"/>
  <c r="D133" i="1"/>
  <c r="B133" i="1"/>
  <c r="M143" i="3" l="1"/>
  <c r="Y143" i="3" s="1"/>
  <c r="Z178" i="1"/>
  <c r="D159" i="3"/>
  <c r="L159" i="3" s="1"/>
  <c r="M184" i="1"/>
  <c r="M161" i="3"/>
  <c r="M159" i="3"/>
  <c r="M136" i="3"/>
  <c r="L199" i="3"/>
  <c r="M268" i="1" s="1"/>
  <c r="AB133" i="1"/>
  <c r="AA105" i="3" s="1"/>
  <c r="M133" i="1"/>
  <c r="M162" i="3"/>
  <c r="D161" i="3"/>
  <c r="L161" i="3" s="1"/>
  <c r="AB187" i="1"/>
  <c r="AA162" i="3" s="1"/>
  <c r="AB184" i="1"/>
  <c r="AA159" i="3" s="1"/>
  <c r="AB186" i="1"/>
  <c r="AA161" i="3" s="1"/>
  <c r="AB172" i="1"/>
  <c r="AA136" i="3" s="1"/>
  <c r="D136" i="3"/>
  <c r="L136" i="3" s="1"/>
  <c r="AB178" i="1"/>
  <c r="AA143" i="3" s="1"/>
  <c r="D162" i="3"/>
  <c r="L162" i="3" s="1"/>
  <c r="D143" i="3"/>
  <c r="L143" i="3" s="1"/>
  <c r="D105" i="3"/>
  <c r="L105" i="3" s="1"/>
  <c r="AA158" i="3" l="1"/>
  <c r="M158" i="3"/>
  <c r="D158" i="3"/>
  <c r="L158" i="3" s="1"/>
  <c r="D124" i="1"/>
  <c r="D131" i="1"/>
  <c r="D144" i="1"/>
  <c r="D214" i="1"/>
  <c r="D200" i="1"/>
  <c r="D168" i="1"/>
  <c r="D157" i="1"/>
  <c r="D151" i="1"/>
  <c r="D121" i="1"/>
  <c r="D106" i="1"/>
  <c r="D58" i="1"/>
  <c r="D21" i="1"/>
  <c r="C206" i="1" l="1"/>
  <c r="D206" i="1"/>
  <c r="B206" i="1"/>
  <c r="D217" i="1"/>
  <c r="D221" i="1"/>
  <c r="D225" i="1"/>
  <c r="D234" i="1"/>
  <c r="C45" i="1" l="1"/>
  <c r="D45" i="1"/>
  <c r="B45" i="1"/>
  <c r="N240" i="1" l="1"/>
  <c r="M193" i="3" l="1"/>
  <c r="E131" i="1"/>
  <c r="M131" i="1" s="1"/>
  <c r="M192" i="3" l="1"/>
  <c r="N158" i="1"/>
  <c r="M44" i="3" l="1"/>
  <c r="Y44" i="3" s="1"/>
  <c r="Z158" i="1"/>
  <c r="N243" i="1"/>
  <c r="N242" i="1" l="1"/>
  <c r="Z243" i="1"/>
  <c r="N241" i="1"/>
  <c r="Z241" i="1" s="1"/>
  <c r="Z242" i="1"/>
  <c r="E217" i="1" l="1"/>
  <c r="M217" i="1" s="1"/>
  <c r="E21" i="1"/>
  <c r="M21" i="1" s="1"/>
  <c r="N159" i="1" l="1"/>
  <c r="M122" i="3" l="1"/>
  <c r="Z159" i="1"/>
  <c r="N35" i="1"/>
  <c r="M164" i="3" l="1"/>
  <c r="Y122" i="3"/>
  <c r="E174" i="1"/>
  <c r="M174" i="1" s="1"/>
  <c r="M163" i="3" l="1"/>
  <c r="E236" i="1"/>
  <c r="M236" i="1" s="1"/>
  <c r="E243" i="1"/>
  <c r="M243" i="1" s="1"/>
  <c r="AB243" i="1" l="1"/>
  <c r="E242" i="1"/>
  <c r="E241" i="1" l="1"/>
  <c r="M241" i="1" s="1"/>
  <c r="M242" i="1"/>
  <c r="AB241" i="1"/>
  <c r="AB242" i="1"/>
  <c r="E59" i="1" l="1"/>
  <c r="E60" i="1"/>
  <c r="E61" i="1"/>
  <c r="E62" i="1"/>
  <c r="M62" i="1" s="1"/>
  <c r="E70" i="1"/>
  <c r="M70" i="1" s="1"/>
  <c r="E71" i="1"/>
  <c r="M71" i="1" s="1"/>
  <c r="E76" i="1"/>
  <c r="M76" i="1" s="1"/>
  <c r="E77" i="1"/>
  <c r="M77" i="1" s="1"/>
  <c r="E78" i="1"/>
  <c r="M78" i="1" s="1"/>
  <c r="E81" i="1"/>
  <c r="M81" i="1" s="1"/>
  <c r="E99" i="1"/>
  <c r="M99" i="1" s="1"/>
  <c r="E100" i="1"/>
  <c r="M100" i="1" s="1"/>
  <c r="E101" i="1"/>
  <c r="M101" i="1" s="1"/>
  <c r="E102" i="1"/>
  <c r="M102" i="1" s="1"/>
  <c r="E103" i="1"/>
  <c r="E58" i="1"/>
  <c r="M58" i="1" s="1"/>
  <c r="D33" i="3" l="1"/>
  <c r="L33" i="3" s="1"/>
  <c r="M60" i="1"/>
  <c r="D34" i="3"/>
  <c r="L34" i="3" s="1"/>
  <c r="M61" i="1"/>
  <c r="D32" i="3"/>
  <c r="L32" i="3" s="1"/>
  <c r="M59" i="1"/>
  <c r="E47" i="1"/>
  <c r="M47" i="1" s="1"/>
  <c r="E157" i="1"/>
  <c r="M157" i="1" s="1"/>
  <c r="E158" i="1"/>
  <c r="M158" i="1" s="1"/>
  <c r="E159" i="1"/>
  <c r="M159" i="1" s="1"/>
  <c r="E160" i="1"/>
  <c r="E161" i="1"/>
  <c r="M161" i="1" s="1"/>
  <c r="E162" i="1"/>
  <c r="D123" i="3" l="1"/>
  <c r="L123" i="3" s="1"/>
  <c r="M160" i="1"/>
  <c r="D125" i="3"/>
  <c r="L125" i="3" s="1"/>
  <c r="M162" i="1"/>
  <c r="N101" i="1"/>
  <c r="Z101" i="1" l="1"/>
  <c r="E206" i="1"/>
  <c r="D140" i="3" l="1"/>
  <c r="N99" i="1"/>
  <c r="N102" i="1" l="1"/>
  <c r="AB102" i="1" l="1"/>
  <c r="N189" i="1"/>
  <c r="N181" i="1"/>
  <c r="M154" i="3" l="1"/>
  <c r="Z181" i="1"/>
  <c r="M174" i="3"/>
  <c r="Y174" i="3" s="1"/>
  <c r="Z189" i="1"/>
  <c r="E189" i="1"/>
  <c r="D174" i="3" l="1"/>
  <c r="Y154" i="3"/>
  <c r="AB189" i="1"/>
  <c r="AA174" i="3" s="1"/>
  <c r="E45" i="1"/>
  <c r="E192" i="1"/>
  <c r="M192" i="1" s="1"/>
  <c r="D197" i="3" l="1"/>
  <c r="L197" i="3" s="1"/>
  <c r="M45" i="1"/>
  <c r="N191" i="1"/>
  <c r="N192" i="1"/>
  <c r="E193" i="1"/>
  <c r="AB192" i="1" l="1"/>
  <c r="C218" i="1"/>
  <c r="D218" i="1"/>
  <c r="B218" i="1"/>
  <c r="C217" i="1"/>
  <c r="B217" i="1"/>
  <c r="S218" i="1"/>
  <c r="R168" i="3" s="1"/>
  <c r="R165" i="3" s="1"/>
  <c r="R146" i="3" s="1"/>
  <c r="O218" i="1"/>
  <c r="N168" i="3" s="1"/>
  <c r="N165" i="3" s="1"/>
  <c r="N146" i="3" s="1"/>
  <c r="E218" i="1"/>
  <c r="M218" i="1" s="1"/>
  <c r="S217" i="1"/>
  <c r="S216" i="1" s="1"/>
  <c r="S215" i="1" s="1"/>
  <c r="O217" i="1"/>
  <c r="O216" i="1" s="1"/>
  <c r="O215" i="1" s="1"/>
  <c r="D168" i="3" l="1"/>
  <c r="L168" i="3" s="1"/>
  <c r="E216" i="1"/>
  <c r="N217" i="1"/>
  <c r="N218" i="1"/>
  <c r="M168" i="3" l="1"/>
  <c r="E215" i="1"/>
  <c r="M215" i="1" s="1"/>
  <c r="M216" i="1"/>
  <c r="N216" i="1"/>
  <c r="AB217" i="1"/>
  <c r="AB218" i="1"/>
  <c r="AA168" i="3" s="1"/>
  <c r="E107" i="1"/>
  <c r="D77" i="3" l="1"/>
  <c r="L77" i="3" s="1"/>
  <c r="M107" i="1"/>
  <c r="N215" i="1"/>
  <c r="AB216" i="1"/>
  <c r="AB215" i="1" s="1"/>
  <c r="D107" i="1" l="1"/>
  <c r="D60" i="1"/>
  <c r="N193" i="1" l="1"/>
  <c r="Z193" i="1" s="1"/>
  <c r="E234" i="1" l="1"/>
  <c r="M234" i="1" s="1"/>
  <c r="C228" i="1" l="1"/>
  <c r="D228" i="1"/>
  <c r="C229" i="1"/>
  <c r="D229" i="1"/>
  <c r="C231" i="1"/>
  <c r="D231" i="1"/>
  <c r="B231" i="1"/>
  <c r="B229" i="1"/>
  <c r="B228" i="1"/>
  <c r="C227" i="1"/>
  <c r="D227" i="1"/>
  <c r="B227" i="1"/>
  <c r="C226" i="1"/>
  <c r="D226" i="1"/>
  <c r="B226" i="1"/>
  <c r="E231" i="1"/>
  <c r="M231" i="1" s="1"/>
  <c r="N229" i="1"/>
  <c r="E229" i="1"/>
  <c r="N228" i="1"/>
  <c r="E228" i="1"/>
  <c r="E227" i="1"/>
  <c r="N226" i="1"/>
  <c r="E226" i="1"/>
  <c r="C222" i="1"/>
  <c r="B222" i="1"/>
  <c r="C225" i="1"/>
  <c r="B225" i="1"/>
  <c r="C221" i="1"/>
  <c r="B221" i="1"/>
  <c r="D222" i="1"/>
  <c r="E225" i="1"/>
  <c r="M225" i="1" s="1"/>
  <c r="N222" i="1"/>
  <c r="E222" i="1"/>
  <c r="M222" i="1" s="1"/>
  <c r="N221" i="1"/>
  <c r="E221" i="1"/>
  <c r="M221" i="1" s="1"/>
  <c r="D151" i="3" l="1"/>
  <c r="L151" i="3" s="1"/>
  <c r="M226" i="1"/>
  <c r="D172" i="3"/>
  <c r="N220" i="1"/>
  <c r="N219" i="1" s="1"/>
  <c r="Z219" i="1" s="1"/>
  <c r="Z221" i="1"/>
  <c r="D155" i="3"/>
  <c r="L155" i="3" s="1"/>
  <c r="M227" i="1"/>
  <c r="D173" i="3"/>
  <c r="M151" i="3"/>
  <c r="M172" i="3"/>
  <c r="Y172" i="3" s="1"/>
  <c r="Z228" i="1"/>
  <c r="M173" i="3"/>
  <c r="Y173" i="3" s="1"/>
  <c r="Z229" i="1"/>
  <c r="E224" i="1"/>
  <c r="E220" i="1"/>
  <c r="N225" i="1"/>
  <c r="N227" i="1"/>
  <c r="N231" i="1"/>
  <c r="AB226" i="1"/>
  <c r="AA151" i="3" s="1"/>
  <c r="AA150" i="3" s="1"/>
  <c r="AB228" i="1"/>
  <c r="AA172" i="3" s="1"/>
  <c r="AB229" i="1"/>
  <c r="AA173" i="3" s="1"/>
  <c r="AB222" i="1"/>
  <c r="AB221" i="1"/>
  <c r="Z220" i="1" l="1"/>
  <c r="M155" i="3"/>
  <c r="Z227" i="1"/>
  <c r="M150" i="3"/>
  <c r="E223" i="1"/>
  <c r="M223" i="1" s="1"/>
  <c r="M224" i="1"/>
  <c r="E219" i="1"/>
  <c r="M219" i="1" s="1"/>
  <c r="M220" i="1"/>
  <c r="N224" i="1"/>
  <c r="AB220" i="1"/>
  <c r="AB219" i="1" s="1"/>
  <c r="AB231" i="1"/>
  <c r="AB225" i="1"/>
  <c r="AB227" i="1"/>
  <c r="AA155" i="3" s="1"/>
  <c r="Y155" i="3" l="1"/>
  <c r="M152" i="3"/>
  <c r="Y152" i="3" s="1"/>
  <c r="N223" i="1"/>
  <c r="Z223" i="1" s="1"/>
  <c r="Z224" i="1"/>
  <c r="AB224" i="1"/>
  <c r="AB223" i="1" s="1"/>
  <c r="N173" i="1" l="1"/>
  <c r="M137" i="3" l="1"/>
  <c r="N176" i="1"/>
  <c r="M141" i="3" l="1"/>
  <c r="C43" i="1"/>
  <c r="D43" i="1"/>
  <c r="B43" i="1"/>
  <c r="N43" i="1"/>
  <c r="E43" i="1"/>
  <c r="M43" i="1" s="1"/>
  <c r="M187" i="3" l="1"/>
  <c r="D187" i="3"/>
  <c r="L187" i="3" s="1"/>
  <c r="AB43" i="1"/>
  <c r="AA187" i="3" s="1"/>
  <c r="D45" i="3" l="1"/>
  <c r="L45" i="3" s="1"/>
  <c r="AB71" i="1" l="1"/>
  <c r="AA45" i="3" s="1"/>
  <c r="D139" i="1" l="1"/>
  <c r="D209" i="1"/>
  <c r="D109" i="1"/>
  <c r="D108" i="1"/>
  <c r="D59" i="1"/>
  <c r="D35" i="1"/>
  <c r="D33" i="1"/>
  <c r="D32" i="1"/>
  <c r="D31" i="1"/>
  <c r="D30" i="1"/>
  <c r="D29" i="1"/>
  <c r="E26" i="1" l="1"/>
  <c r="M26" i="1" s="1"/>
  <c r="D104" i="3" l="1"/>
  <c r="L104" i="3" s="1"/>
  <c r="N26" i="1"/>
  <c r="M104" i="3" l="1"/>
  <c r="Y104" i="3" s="1"/>
  <c r="Z26" i="1"/>
  <c r="AB26" i="1"/>
  <c r="AA104" i="3" s="1"/>
  <c r="N62" i="1" l="1"/>
  <c r="M35" i="3" l="1"/>
  <c r="AB62" i="1"/>
  <c r="AA35" i="3" s="1"/>
  <c r="D35" i="3"/>
  <c r="L35" i="3" s="1"/>
  <c r="N169" i="1" l="1"/>
  <c r="E169" i="1"/>
  <c r="M169" i="1" s="1"/>
  <c r="S152" i="1"/>
  <c r="R99" i="3" s="1"/>
  <c r="R84" i="3" s="1"/>
  <c r="O152" i="1"/>
  <c r="N99" i="3" s="1"/>
  <c r="N84" i="3" s="1"/>
  <c r="S151" i="1"/>
  <c r="O151" i="1"/>
  <c r="N18" i="3" s="1"/>
  <c r="N17" i="3" s="1"/>
  <c r="N198" i="3" s="1"/>
  <c r="S150" i="1" l="1"/>
  <c r="S149" i="1" s="1"/>
  <c r="S244" i="1" s="1"/>
  <c r="R18" i="3"/>
  <c r="R17" i="3" s="1"/>
  <c r="R198" i="3" s="1"/>
  <c r="S267" i="1" s="1"/>
  <c r="O150" i="1"/>
  <c r="O149" i="1" s="1"/>
  <c r="O244" i="1" s="1"/>
  <c r="O267" i="1" s="1"/>
  <c r="AB169" i="1"/>
  <c r="D44" i="3" l="1"/>
  <c r="L44" i="3" s="1"/>
  <c r="AB158" i="1"/>
  <c r="AA44" i="3" s="1"/>
  <c r="N103" i="1" l="1"/>
  <c r="Z103" i="1" s="1"/>
  <c r="N100" i="1"/>
  <c r="AB100" i="1" l="1"/>
  <c r="AB101" i="1"/>
  <c r="AB103" i="1"/>
  <c r="AB99" i="1"/>
  <c r="D160" i="1" l="1"/>
  <c r="N22" i="1" l="1"/>
  <c r="M19" i="3" l="1"/>
  <c r="E210" i="1"/>
  <c r="D170" i="3" l="1"/>
  <c r="N77" i="1"/>
  <c r="M51" i="3" l="1"/>
  <c r="D51" i="3"/>
  <c r="L51" i="3" s="1"/>
  <c r="AB77" i="1"/>
  <c r="AA51" i="3" s="1"/>
  <c r="E198" i="1" l="1"/>
  <c r="E249" i="1" l="1"/>
  <c r="D166" i="3" l="1"/>
  <c r="N210" i="1"/>
  <c r="M170" i="3" l="1"/>
  <c r="Z210" i="1"/>
  <c r="D148" i="3"/>
  <c r="N198" i="1"/>
  <c r="D203" i="3"/>
  <c r="E272" i="1" s="1"/>
  <c r="AB210" i="1"/>
  <c r="AA170" i="3" s="1"/>
  <c r="AA166" i="3" s="1"/>
  <c r="AA148" i="3" s="1"/>
  <c r="AA203" i="3" s="1"/>
  <c r="M272" i="1" l="1"/>
  <c r="M166" i="3"/>
  <c r="Y170" i="3"/>
  <c r="N249" i="1"/>
  <c r="Z198" i="1"/>
  <c r="AB198" i="1"/>
  <c r="AB249" i="1" s="1"/>
  <c r="M148" i="3" l="1"/>
  <c r="Y166" i="3"/>
  <c r="Z249" i="1"/>
  <c r="M203" i="3" l="1"/>
  <c r="N272" i="1" s="1"/>
  <c r="Y148" i="3"/>
  <c r="AB272" i="1"/>
  <c r="Y203" i="3" l="1"/>
  <c r="Z272" i="1" s="1"/>
  <c r="N76" i="1"/>
  <c r="D50" i="3"/>
  <c r="L50" i="3" s="1"/>
  <c r="N61" i="1"/>
  <c r="M34" i="3" l="1"/>
  <c r="M50" i="3"/>
  <c r="AB76" i="1"/>
  <c r="AA50" i="3" s="1"/>
  <c r="AB61" i="1" l="1"/>
  <c r="AA34" i="3" s="1"/>
  <c r="E112" i="1" l="1"/>
  <c r="M112" i="1" s="1"/>
  <c r="N45" i="1"/>
  <c r="M197" i="3" l="1"/>
  <c r="Y197" i="3" s="1"/>
  <c r="Z45" i="1"/>
  <c r="AB45" i="1"/>
  <c r="AA197" i="3" s="1"/>
  <c r="E191" i="1" l="1"/>
  <c r="M191" i="1" s="1"/>
  <c r="C191" i="1"/>
  <c r="D191" i="1"/>
  <c r="B191" i="1"/>
  <c r="AB191" i="1" l="1"/>
  <c r="D123" i="1" l="1"/>
  <c r="D194" i="1" l="1"/>
  <c r="N163" i="1" l="1"/>
  <c r="Z163" i="1" s="1"/>
  <c r="E163" i="1"/>
  <c r="C163" i="1"/>
  <c r="D163" i="1"/>
  <c r="B163" i="1"/>
  <c r="E156" i="1" l="1"/>
  <c r="M156" i="1" s="1"/>
  <c r="AB163" i="1"/>
  <c r="D193" i="3"/>
  <c r="N59" i="1"/>
  <c r="N235" i="1"/>
  <c r="N236" i="1"/>
  <c r="N237" i="1"/>
  <c r="N238" i="1"/>
  <c r="Z238" i="1" s="1"/>
  <c r="N239" i="1"/>
  <c r="N234" i="1"/>
  <c r="N214" i="1"/>
  <c r="N206" i="1"/>
  <c r="N200" i="1"/>
  <c r="N170" i="1"/>
  <c r="N171" i="1"/>
  <c r="N174" i="1"/>
  <c r="N175" i="1"/>
  <c r="N188" i="1"/>
  <c r="N194" i="1"/>
  <c r="Z194" i="1" s="1"/>
  <c r="N168" i="1"/>
  <c r="N160" i="1"/>
  <c r="N161" i="1"/>
  <c r="N162" i="1"/>
  <c r="N157" i="1"/>
  <c r="N152" i="1"/>
  <c r="N153" i="1"/>
  <c r="N151" i="1"/>
  <c r="N123" i="1"/>
  <c r="N124" i="1"/>
  <c r="N125" i="1"/>
  <c r="N126" i="1"/>
  <c r="N134" i="1"/>
  <c r="N138" i="1"/>
  <c r="N139" i="1"/>
  <c r="N142" i="1"/>
  <c r="N143" i="1"/>
  <c r="N144" i="1"/>
  <c r="N148" i="1"/>
  <c r="N121" i="1"/>
  <c r="N107" i="1"/>
  <c r="N108" i="1"/>
  <c r="N109" i="1"/>
  <c r="N110" i="1"/>
  <c r="N111" i="1"/>
  <c r="N112" i="1"/>
  <c r="N106" i="1"/>
  <c r="N70" i="1"/>
  <c r="N78" i="1"/>
  <c r="N81" i="1"/>
  <c r="N58" i="1"/>
  <c r="N23" i="1"/>
  <c r="N24" i="1"/>
  <c r="N25" i="1"/>
  <c r="N27" i="1"/>
  <c r="N28" i="1"/>
  <c r="N30" i="1"/>
  <c r="N31" i="1"/>
  <c r="N32" i="1"/>
  <c r="N33" i="1"/>
  <c r="N34" i="1"/>
  <c r="N36" i="1"/>
  <c r="N37" i="1"/>
  <c r="N38" i="1"/>
  <c r="N39" i="1"/>
  <c r="N40" i="1"/>
  <c r="N42" i="1"/>
  <c r="N44" i="1"/>
  <c r="N21" i="1"/>
  <c r="D192" i="3" l="1"/>
  <c r="L192" i="3" s="1"/>
  <c r="L193" i="3"/>
  <c r="M123" i="3"/>
  <c r="Z160" i="1"/>
  <c r="M93" i="3"/>
  <c r="M189" i="3"/>
  <c r="M114" i="3"/>
  <c r="M191" i="3"/>
  <c r="M129" i="3"/>
  <c r="M128" i="3"/>
  <c r="M124" i="3"/>
  <c r="M43" i="3"/>
  <c r="M111" i="3"/>
  <c r="M106" i="3"/>
  <c r="M190" i="3"/>
  <c r="Z44" i="1"/>
  <c r="M117" i="3"/>
  <c r="M139" i="3"/>
  <c r="M77" i="3"/>
  <c r="Z107" i="1"/>
  <c r="M138" i="3"/>
  <c r="M32" i="3"/>
  <c r="Z59" i="1"/>
  <c r="M131" i="3"/>
  <c r="Y131" i="3" s="1"/>
  <c r="Z33" i="1"/>
  <c r="M130" i="3"/>
  <c r="M82" i="3"/>
  <c r="M81" i="3"/>
  <c r="M80" i="3"/>
  <c r="M186" i="3"/>
  <c r="M103" i="3"/>
  <c r="M177" i="3"/>
  <c r="N150" i="1"/>
  <c r="M135" i="3"/>
  <c r="M92" i="3"/>
  <c r="M91" i="3"/>
  <c r="M90" i="3"/>
  <c r="M196" i="3"/>
  <c r="M100" i="3"/>
  <c r="M115" i="3"/>
  <c r="N213" i="1"/>
  <c r="N212" i="1" s="1"/>
  <c r="M79" i="3"/>
  <c r="M78" i="3"/>
  <c r="M182" i="3"/>
  <c r="Y182" i="3" s="1"/>
  <c r="Z39" i="1"/>
  <c r="M55" i="3"/>
  <c r="M99" i="3"/>
  <c r="Y99" i="3" s="1"/>
  <c r="M125" i="3"/>
  <c r="M110" i="3"/>
  <c r="M18" i="3"/>
  <c r="M183" i="3"/>
  <c r="Z37" i="1"/>
  <c r="M175" i="3"/>
  <c r="M132" i="3"/>
  <c r="M52" i="3"/>
  <c r="M116" i="3"/>
  <c r="M140" i="3"/>
  <c r="Y140" i="3" s="1"/>
  <c r="Z206" i="1"/>
  <c r="N149" i="1"/>
  <c r="N156" i="1"/>
  <c r="N233" i="1"/>
  <c r="N19" i="1"/>
  <c r="AD155" i="1"/>
  <c r="AB21" i="1"/>
  <c r="N209" i="1"/>
  <c r="N190" i="1"/>
  <c r="M176" i="3" s="1"/>
  <c r="Y176" i="3" s="1"/>
  <c r="M188" i="3" l="1"/>
  <c r="Y188" i="3" s="1"/>
  <c r="Y190" i="3"/>
  <c r="Y32" i="3"/>
  <c r="N196" i="1"/>
  <c r="N195" i="1" s="1"/>
  <c r="Z195" i="1" s="1"/>
  <c r="Z209" i="1"/>
  <c r="M133" i="3"/>
  <c r="Y133" i="3" s="1"/>
  <c r="M76" i="3"/>
  <c r="Y76" i="3" s="1"/>
  <c r="Y77" i="3"/>
  <c r="M185" i="3"/>
  <c r="M17" i="3"/>
  <c r="N165" i="1"/>
  <c r="N164" i="1" s="1"/>
  <c r="Z164" i="1" s="1"/>
  <c r="Z190" i="1"/>
  <c r="M180" i="3"/>
  <c r="M195" i="3"/>
  <c r="Y196" i="3"/>
  <c r="M126" i="3"/>
  <c r="Y126" i="3" s="1"/>
  <c r="Y123" i="3"/>
  <c r="M121" i="3"/>
  <c r="Y121" i="3" s="1"/>
  <c r="N18" i="1"/>
  <c r="N232" i="1"/>
  <c r="Z232" i="1" s="1"/>
  <c r="Z233" i="1"/>
  <c r="N155" i="1"/>
  <c r="Z155" i="1" s="1"/>
  <c r="Z156" i="1"/>
  <c r="AD178" i="3"/>
  <c r="AD133" i="3"/>
  <c r="E237" i="1"/>
  <c r="M237" i="1" s="1"/>
  <c r="D237" i="1"/>
  <c r="B237" i="1"/>
  <c r="Z165" i="1" l="1"/>
  <c r="M194" i="3"/>
  <c r="Y194" i="3" s="1"/>
  <c r="Y195" i="3"/>
  <c r="M178" i="3"/>
  <c r="Y178" i="3" s="1"/>
  <c r="Y180" i="3"/>
  <c r="Z196" i="1"/>
  <c r="D189" i="3"/>
  <c r="L189" i="3" s="1"/>
  <c r="N114" i="1"/>
  <c r="AB237" i="1"/>
  <c r="AA189" i="3" s="1"/>
  <c r="N105" i="1" l="1"/>
  <c r="Z114" i="1"/>
  <c r="M169" i="3"/>
  <c r="N104" i="1"/>
  <c r="Z104" i="1" s="1"/>
  <c r="Z105" i="1"/>
  <c r="AB114" i="1"/>
  <c r="AD146" i="3"/>
  <c r="Y169" i="3" l="1"/>
  <c r="M165" i="3"/>
  <c r="N60" i="1"/>
  <c r="Y165" i="3" l="1"/>
  <c r="M146" i="3"/>
  <c r="Y146" i="3" s="1"/>
  <c r="N47" i="1"/>
  <c r="M33" i="3"/>
  <c r="Z60" i="1"/>
  <c r="N46" i="1"/>
  <c r="Z46" i="1" s="1"/>
  <c r="Z47" i="1"/>
  <c r="D37" i="1"/>
  <c r="C160" i="1"/>
  <c r="B160" i="1"/>
  <c r="AB240" i="1"/>
  <c r="AA193" i="3" s="1"/>
  <c r="AA192" i="3" s="1"/>
  <c r="E235" i="1"/>
  <c r="M235" i="1" s="1"/>
  <c r="E238" i="1"/>
  <c r="E239" i="1"/>
  <c r="M239" i="1" s="1"/>
  <c r="E214" i="1"/>
  <c r="M214" i="1" s="1"/>
  <c r="E209" i="1"/>
  <c r="E200" i="1"/>
  <c r="M200" i="1" s="1"/>
  <c r="E170" i="1"/>
  <c r="E171" i="1"/>
  <c r="M171" i="1" s="1"/>
  <c r="E173" i="1"/>
  <c r="M173" i="1" s="1"/>
  <c r="E175" i="1"/>
  <c r="E176" i="1"/>
  <c r="D154" i="3"/>
  <c r="E188" i="1"/>
  <c r="M188" i="1" s="1"/>
  <c r="E190" i="1"/>
  <c r="AB193" i="1"/>
  <c r="E194" i="1"/>
  <c r="M194" i="1" s="1"/>
  <c r="E168" i="1"/>
  <c r="E152" i="1"/>
  <c r="M152" i="1" s="1"/>
  <c r="E153" i="1"/>
  <c r="M153" i="1" s="1"/>
  <c r="E151" i="1"/>
  <c r="M151" i="1" s="1"/>
  <c r="E122" i="1"/>
  <c r="M122" i="1" s="1"/>
  <c r="E123" i="1"/>
  <c r="M123" i="1" s="1"/>
  <c r="E124" i="1"/>
  <c r="M124" i="1" s="1"/>
  <c r="E125" i="1"/>
  <c r="M125" i="1" s="1"/>
  <c r="E126" i="1"/>
  <c r="M126" i="1" s="1"/>
  <c r="E138" i="1"/>
  <c r="M138" i="1" s="1"/>
  <c r="E139" i="1"/>
  <c r="M139" i="1" s="1"/>
  <c r="E142" i="1"/>
  <c r="M142" i="1" s="1"/>
  <c r="E143" i="1"/>
  <c r="E144" i="1"/>
  <c r="M144" i="1" s="1"/>
  <c r="E148" i="1"/>
  <c r="M148" i="1" s="1"/>
  <c r="E121" i="1"/>
  <c r="M121" i="1" s="1"/>
  <c r="E108" i="1"/>
  <c r="M108" i="1" s="1"/>
  <c r="E109" i="1"/>
  <c r="M109" i="1" s="1"/>
  <c r="E110" i="1"/>
  <c r="M110" i="1" s="1"/>
  <c r="E111" i="1"/>
  <c r="M111" i="1" s="1"/>
  <c r="D82" i="3"/>
  <c r="L82" i="3" s="1"/>
  <c r="E106" i="1"/>
  <c r="M106" i="1" s="1"/>
  <c r="D43" i="3"/>
  <c r="L43" i="3" s="1"/>
  <c r="D52" i="3"/>
  <c r="L52" i="3" s="1"/>
  <c r="D55" i="3"/>
  <c r="L55" i="3" s="1"/>
  <c r="E22" i="1"/>
  <c r="M22" i="1" s="1"/>
  <c r="E23" i="1"/>
  <c r="M23" i="1" s="1"/>
  <c r="E24" i="1"/>
  <c r="M24" i="1" s="1"/>
  <c r="E25" i="1"/>
  <c r="M25" i="1" s="1"/>
  <c r="E27" i="1"/>
  <c r="M27" i="1" s="1"/>
  <c r="E28" i="1"/>
  <c r="M28" i="1" s="1"/>
  <c r="E29" i="1"/>
  <c r="M29" i="1" s="1"/>
  <c r="E30" i="1"/>
  <c r="M30" i="1" s="1"/>
  <c r="E31" i="1"/>
  <c r="M31" i="1" s="1"/>
  <c r="E32" i="1"/>
  <c r="M32" i="1" s="1"/>
  <c r="E33" i="1"/>
  <c r="M33" i="1" s="1"/>
  <c r="E34" i="1"/>
  <c r="M34" i="1" s="1"/>
  <c r="E35" i="1"/>
  <c r="E36" i="1"/>
  <c r="M36" i="1" s="1"/>
  <c r="E37" i="1"/>
  <c r="E38" i="1"/>
  <c r="E39" i="1"/>
  <c r="M39" i="1" s="1"/>
  <c r="E40" i="1"/>
  <c r="M40" i="1" s="1"/>
  <c r="E42" i="1"/>
  <c r="E44" i="1"/>
  <c r="D186" i="3" l="1"/>
  <c r="L186" i="3" s="1"/>
  <c r="M42" i="1"/>
  <c r="D141" i="3"/>
  <c r="L141" i="3" s="1"/>
  <c r="M176" i="1"/>
  <c r="D139" i="3"/>
  <c r="L139" i="3" s="1"/>
  <c r="M175" i="1"/>
  <c r="D115" i="3"/>
  <c r="L115" i="3" s="1"/>
  <c r="M170" i="1"/>
  <c r="D177" i="3"/>
  <c r="L177" i="3" s="1"/>
  <c r="M38" i="1"/>
  <c r="D116" i="3"/>
  <c r="L116" i="3" s="1"/>
  <c r="M143" i="1"/>
  <c r="E165" i="1"/>
  <c r="M165" i="1" s="1"/>
  <c r="M168" i="1"/>
  <c r="Y33" i="3"/>
  <c r="M20" i="3"/>
  <c r="D152" i="3"/>
  <c r="L152" i="3" s="1"/>
  <c r="D164" i="3"/>
  <c r="L164" i="3" s="1"/>
  <c r="M35" i="1"/>
  <c r="D20" i="3"/>
  <c r="L20" i="3" s="1"/>
  <c r="E150" i="1"/>
  <c r="M150" i="1" s="1"/>
  <c r="E196" i="1"/>
  <c r="M196" i="1" s="1"/>
  <c r="E116" i="1"/>
  <c r="M116" i="1" s="1"/>
  <c r="E105" i="1"/>
  <c r="M105" i="1" s="1"/>
  <c r="D169" i="3"/>
  <c r="L169" i="3" s="1"/>
  <c r="D196" i="3"/>
  <c r="E164" i="1"/>
  <c r="M164" i="1" s="1"/>
  <c r="D19" i="3"/>
  <c r="L19" i="3" s="1"/>
  <c r="E19" i="1"/>
  <c r="E149" i="1"/>
  <c r="M149" i="1" s="1"/>
  <c r="E233" i="1"/>
  <c r="D176" i="3"/>
  <c r="D18" i="3"/>
  <c r="L18" i="3" s="1"/>
  <c r="D117" i="3"/>
  <c r="L117" i="3" s="1"/>
  <c r="E155" i="1"/>
  <c r="M155" i="1" s="1"/>
  <c r="E213" i="1"/>
  <c r="AB181" i="1"/>
  <c r="AA154" i="3" s="1"/>
  <c r="AA152" i="3" s="1"/>
  <c r="AB190" i="1"/>
  <c r="D81" i="3"/>
  <c r="L81" i="3" s="1"/>
  <c r="D100" i="3"/>
  <c r="L100" i="3" s="1"/>
  <c r="D182" i="3"/>
  <c r="L182" i="3" s="1"/>
  <c r="D103" i="3"/>
  <c r="L103" i="3" s="1"/>
  <c r="D99" i="3"/>
  <c r="L99" i="3" s="1"/>
  <c r="D191" i="3"/>
  <c r="L191" i="3" s="1"/>
  <c r="D150" i="3"/>
  <c r="L150" i="3" s="1"/>
  <c r="D80" i="3"/>
  <c r="L80" i="3" s="1"/>
  <c r="D79" i="3"/>
  <c r="L79" i="3" s="1"/>
  <c r="D114" i="3"/>
  <c r="L114" i="3" s="1"/>
  <c r="D111" i="3"/>
  <c r="L111" i="3" s="1"/>
  <c r="D110" i="3"/>
  <c r="L110" i="3" s="1"/>
  <c r="D92" i="3"/>
  <c r="L92" i="3" s="1"/>
  <c r="D89" i="3"/>
  <c r="L89" i="3" s="1"/>
  <c r="D175" i="3"/>
  <c r="L175" i="3" s="1"/>
  <c r="D130" i="3"/>
  <c r="L130" i="3" s="1"/>
  <c r="D128" i="3"/>
  <c r="L128" i="3" s="1"/>
  <c r="D127" i="3"/>
  <c r="L127" i="3" s="1"/>
  <c r="D183" i="3"/>
  <c r="L183" i="3" s="1"/>
  <c r="E46" i="1"/>
  <c r="M46" i="1" s="1"/>
  <c r="D190" i="3"/>
  <c r="D106" i="3"/>
  <c r="L106" i="3" s="1"/>
  <c r="D132" i="3"/>
  <c r="L132" i="3" s="1"/>
  <c r="D129" i="3"/>
  <c r="L129" i="3" s="1"/>
  <c r="D122" i="3"/>
  <c r="L122" i="3" s="1"/>
  <c r="D98" i="3"/>
  <c r="L98" i="3" s="1"/>
  <c r="D131" i="3"/>
  <c r="L131" i="3" s="1"/>
  <c r="D163" i="3"/>
  <c r="L163" i="3" s="1"/>
  <c r="AB144" i="1"/>
  <c r="AB170" i="1"/>
  <c r="AA115" i="3" s="1"/>
  <c r="D90" i="3"/>
  <c r="L90" i="3" s="1"/>
  <c r="D78" i="3"/>
  <c r="L78" i="3" s="1"/>
  <c r="D137" i="3"/>
  <c r="L137" i="3" s="1"/>
  <c r="D185" i="3"/>
  <c r="L185" i="3" s="1"/>
  <c r="D138" i="3"/>
  <c r="L138" i="3" s="1"/>
  <c r="AB194" i="1"/>
  <c r="D135" i="3"/>
  <c r="L135" i="3" s="1"/>
  <c r="AB168" i="1"/>
  <c r="D124" i="3"/>
  <c r="L124" i="3" s="1"/>
  <c r="AB148" i="1"/>
  <c r="AA196" i="3" s="1"/>
  <c r="AA195" i="3" s="1"/>
  <c r="AA194" i="3" s="1"/>
  <c r="D93" i="3"/>
  <c r="L93" i="3" s="1"/>
  <c r="D91" i="3"/>
  <c r="L91" i="3" s="1"/>
  <c r="AB44" i="1"/>
  <c r="AA190" i="3" s="1"/>
  <c r="AA188" i="3" s="1"/>
  <c r="AB40" i="1"/>
  <c r="AA183" i="3" s="1"/>
  <c r="AB38" i="1"/>
  <c r="AB36" i="1"/>
  <c r="AA175" i="3" s="1"/>
  <c r="AB81" i="1"/>
  <c r="AA55" i="3" s="1"/>
  <c r="AB60" i="1"/>
  <c r="AA33" i="3" s="1"/>
  <c r="AB106" i="1"/>
  <c r="AB142" i="1"/>
  <c r="AA114" i="3" s="1"/>
  <c r="AB138" i="1"/>
  <c r="AA110" i="3" s="1"/>
  <c r="AB134" i="1"/>
  <c r="AA106" i="3" s="1"/>
  <c r="AB126" i="1"/>
  <c r="AB124" i="1"/>
  <c r="AA91" i="3" s="1"/>
  <c r="AB176" i="1"/>
  <c r="AA141" i="3" s="1"/>
  <c r="AB174" i="1"/>
  <c r="AA138" i="3" s="1"/>
  <c r="AB171" i="1"/>
  <c r="AA135" i="3" s="1"/>
  <c r="AB42" i="1"/>
  <c r="AA186" i="3" s="1"/>
  <c r="AA185" i="3" s="1"/>
  <c r="AB39" i="1"/>
  <c r="AA182" i="3" s="1"/>
  <c r="AB37" i="1"/>
  <c r="AA176" i="3" s="1"/>
  <c r="AB35" i="1"/>
  <c r="AA164" i="3" s="1"/>
  <c r="AA163" i="3" s="1"/>
  <c r="AB78" i="1"/>
  <c r="AA52" i="3" s="1"/>
  <c r="AB70" i="1"/>
  <c r="AA43" i="3" s="1"/>
  <c r="AB121" i="1"/>
  <c r="AB139" i="1"/>
  <c r="AA111" i="3" s="1"/>
  <c r="AB131" i="1"/>
  <c r="AA98" i="3" s="1"/>
  <c r="AB125" i="1"/>
  <c r="AA92" i="3" s="1"/>
  <c r="AB123" i="1"/>
  <c r="AA90" i="3" s="1"/>
  <c r="AB175" i="1"/>
  <c r="AA139" i="3" s="1"/>
  <c r="AB173" i="1"/>
  <c r="AA137" i="3" s="1"/>
  <c r="AB234" i="1"/>
  <c r="AB188" i="1"/>
  <c r="AB238" i="1"/>
  <c r="AB235" i="1"/>
  <c r="AB153" i="1"/>
  <c r="AA100" i="3" s="1"/>
  <c r="AB152" i="1"/>
  <c r="AA99" i="3" s="1"/>
  <c r="AB31" i="1"/>
  <c r="AA129" i="3" s="1"/>
  <c r="AB29" i="1"/>
  <c r="AA127" i="3" s="1"/>
  <c r="AA126" i="3" s="1"/>
  <c r="AB28" i="1"/>
  <c r="AA124" i="3" s="1"/>
  <c r="AB27" i="1"/>
  <c r="AB23" i="1"/>
  <c r="AB157" i="1"/>
  <c r="AB209" i="1"/>
  <c r="AB214" i="1"/>
  <c r="AB213" i="1" s="1"/>
  <c r="AB212" i="1" s="1"/>
  <c r="AB34" i="1"/>
  <c r="AA132" i="3" s="1"/>
  <c r="AB32" i="1"/>
  <c r="AA130" i="3" s="1"/>
  <c r="AB30" i="1"/>
  <c r="AA128" i="3" s="1"/>
  <c r="AB25" i="1"/>
  <c r="AA103" i="3" s="1"/>
  <c r="AB24" i="1"/>
  <c r="AB112" i="1"/>
  <c r="AA82" i="3" s="1"/>
  <c r="AB111" i="1"/>
  <c r="AA81" i="3" s="1"/>
  <c r="AB110" i="1"/>
  <c r="AA80" i="3" s="1"/>
  <c r="AB109" i="1"/>
  <c r="AA79" i="3" s="1"/>
  <c r="AB108" i="1"/>
  <c r="AA78" i="3" s="1"/>
  <c r="AB107" i="1"/>
  <c r="AA77" i="3" s="1"/>
  <c r="AB162" i="1"/>
  <c r="AA125" i="3" s="1"/>
  <c r="AB159" i="1"/>
  <c r="AA122" i="3" s="1"/>
  <c r="AB22" i="1"/>
  <c r="AA19" i="3" s="1"/>
  <c r="AB33" i="1"/>
  <c r="AA131" i="3" s="1"/>
  <c r="AB59" i="1"/>
  <c r="AA32" i="3" s="1"/>
  <c r="AA20" i="3" s="1"/>
  <c r="AB151" i="1"/>
  <c r="AB161" i="1"/>
  <c r="AB160" i="1"/>
  <c r="AA123" i="3" s="1"/>
  <c r="AB236" i="1"/>
  <c r="AB200" i="1"/>
  <c r="AB239" i="1"/>
  <c r="AA191" i="3" s="1"/>
  <c r="AB58" i="1"/>
  <c r="AB143" i="1"/>
  <c r="AA116" i="3" s="1"/>
  <c r="E195" i="1" l="1"/>
  <c r="M195" i="1" s="1"/>
  <c r="E115" i="1"/>
  <c r="M115" i="1" s="1"/>
  <c r="AA180" i="3"/>
  <c r="AA178" i="3" s="1"/>
  <c r="E232" i="1"/>
  <c r="M232" i="1" s="1"/>
  <c r="M233" i="1"/>
  <c r="AB165" i="1"/>
  <c r="AB164" i="1" s="1"/>
  <c r="E18" i="1"/>
  <c r="M18" i="1" s="1"/>
  <c r="M19" i="1"/>
  <c r="AA169" i="3"/>
  <c r="AA165" i="3" s="1"/>
  <c r="AA146" i="3" s="1"/>
  <c r="D195" i="3"/>
  <c r="L196" i="3"/>
  <c r="Y20" i="3"/>
  <c r="AA93" i="3"/>
  <c r="AA121" i="3"/>
  <c r="E212" i="1"/>
  <c r="M212" i="1" s="1"/>
  <c r="M213" i="1"/>
  <c r="AA76" i="3"/>
  <c r="AA177" i="3"/>
  <c r="D188" i="3"/>
  <c r="L188" i="3" s="1"/>
  <c r="AA18" i="3"/>
  <c r="AA17" i="3" s="1"/>
  <c r="AA117" i="3"/>
  <c r="D133" i="3"/>
  <c r="L133" i="3" s="1"/>
  <c r="AB47" i="1"/>
  <c r="AB46" i="1" s="1"/>
  <c r="D84" i="3"/>
  <c r="L84" i="3" s="1"/>
  <c r="AB105" i="1"/>
  <c r="AB104" i="1" s="1"/>
  <c r="D76" i="3"/>
  <c r="L76" i="3" s="1"/>
  <c r="AB150" i="1"/>
  <c r="AB233" i="1"/>
  <c r="AB19" i="1"/>
  <c r="AB18" i="1" s="1"/>
  <c r="AB156" i="1"/>
  <c r="D126" i="3"/>
  <c r="L126" i="3" s="1"/>
  <c r="D165" i="3"/>
  <c r="D121" i="3"/>
  <c r="L121" i="3" s="1"/>
  <c r="D17" i="3"/>
  <c r="L17" i="3" s="1"/>
  <c r="E104" i="1"/>
  <c r="D180" i="3"/>
  <c r="D194" i="3" l="1"/>
  <c r="L194" i="3" s="1"/>
  <c r="L195" i="3"/>
  <c r="E244" i="1"/>
  <c r="M244" i="1" s="1"/>
  <c r="M104" i="1"/>
  <c r="D178" i="3"/>
  <c r="L178" i="3" s="1"/>
  <c r="L180" i="3"/>
  <c r="D146" i="3"/>
  <c r="L146" i="3" s="1"/>
  <c r="L165" i="3"/>
  <c r="AB206" i="1"/>
  <c r="D198" i="3" l="1"/>
  <c r="E267" i="1" s="1"/>
  <c r="AB196" i="1"/>
  <c r="AA140" i="3"/>
  <c r="AA133" i="3" s="1"/>
  <c r="L198" i="3" l="1"/>
  <c r="M267" i="1" s="1"/>
  <c r="N122" i="1"/>
  <c r="N116" i="1" l="1"/>
  <c r="M89" i="3"/>
  <c r="N115" i="1"/>
  <c r="AB122" i="1"/>
  <c r="AB232" i="1"/>
  <c r="AB116" i="1" l="1"/>
  <c r="AA89" i="3"/>
  <c r="AA84" i="3" s="1"/>
  <c r="AA198" i="3" s="1"/>
  <c r="M84" i="3"/>
  <c r="N244" i="1"/>
  <c r="AB115" i="1"/>
  <c r="AB195" i="1"/>
  <c r="AB155" i="1"/>
  <c r="AB149" i="1"/>
  <c r="Z244" i="1" l="1"/>
  <c r="M198" i="3"/>
  <c r="AB244" i="1"/>
  <c r="C40" i="1"/>
  <c r="Y198" i="3" l="1"/>
  <c r="Z267" i="1" s="1"/>
  <c r="N267" i="1"/>
  <c r="AB267" i="1"/>
  <c r="C236" i="1"/>
  <c r="D236" i="1"/>
  <c r="B236" i="1"/>
  <c r="C189" i="1"/>
  <c r="D189" i="1"/>
  <c r="B189" i="1"/>
  <c r="C125" i="1" l="1"/>
  <c r="D125" i="1"/>
  <c r="B125" i="1"/>
  <c r="D112" i="1"/>
  <c r="C112" i="1"/>
  <c r="B112" i="1"/>
  <c r="C111" i="1"/>
  <c r="D111" i="1"/>
  <c r="B111" i="1"/>
  <c r="C37" i="1"/>
  <c r="B37" i="1"/>
  <c r="C148" i="1"/>
  <c r="B148" i="1"/>
  <c r="C143" i="1"/>
  <c r="D143" i="1"/>
  <c r="C144" i="1"/>
  <c r="B144" i="1"/>
  <c r="B143" i="1"/>
  <c r="C142" i="1"/>
  <c r="D142" i="1"/>
  <c r="B142" i="1"/>
  <c r="C139" i="1"/>
  <c r="B139" i="1"/>
  <c r="C138" i="1"/>
  <c r="D138" i="1"/>
  <c r="B138" i="1"/>
  <c r="C134" i="1"/>
  <c r="D134" i="1"/>
  <c r="B134" i="1"/>
  <c r="C131" i="1"/>
  <c r="B131" i="1"/>
  <c r="C126" i="1"/>
  <c r="D126" i="1"/>
  <c r="B126" i="1"/>
  <c r="C124" i="1"/>
  <c r="B124" i="1"/>
  <c r="C123" i="1"/>
  <c r="B123" i="1"/>
  <c r="C122" i="1"/>
  <c r="D122" i="1"/>
  <c r="B122" i="1"/>
  <c r="C114" i="1"/>
  <c r="B114" i="1"/>
  <c r="C110" i="1"/>
  <c r="D110" i="1"/>
  <c r="B110" i="1"/>
  <c r="C109" i="1"/>
  <c r="B109" i="1"/>
  <c r="C108" i="1"/>
  <c r="B108" i="1"/>
  <c r="C107" i="1"/>
  <c r="B107" i="1"/>
  <c r="C60" i="1"/>
  <c r="B60" i="1"/>
  <c r="C59" i="1"/>
  <c r="B59" i="1"/>
  <c r="C44" i="1"/>
  <c r="D44" i="1"/>
  <c r="B44" i="1"/>
  <c r="C42" i="1"/>
  <c r="D42" i="1"/>
  <c r="B42" i="1"/>
  <c r="B40" i="1"/>
  <c r="C39" i="1"/>
  <c r="D39" i="1"/>
  <c r="B39" i="1"/>
  <c r="C38" i="1"/>
  <c r="D38" i="1"/>
  <c r="B38" i="1"/>
  <c r="C36" i="1"/>
  <c r="D36" i="1"/>
  <c r="B36" i="1"/>
  <c r="C35" i="1"/>
  <c r="B35" i="1"/>
  <c r="C27" i="1"/>
  <c r="B28" i="1"/>
  <c r="C34" i="1"/>
  <c r="D34" i="1"/>
  <c r="B34" i="1"/>
  <c r="C33" i="1"/>
  <c r="B33" i="1"/>
  <c r="C32" i="1"/>
  <c r="B32" i="1"/>
  <c r="C31" i="1"/>
  <c r="B31" i="1"/>
  <c r="C30" i="1"/>
  <c r="B30" i="1"/>
  <c r="C29" i="1"/>
  <c r="B29" i="1"/>
  <c r="C25" i="1"/>
  <c r="D25" i="1"/>
  <c r="B25" i="1"/>
  <c r="C24" i="1"/>
  <c r="D24" i="1"/>
  <c r="B24" i="1"/>
  <c r="C23" i="1"/>
  <c r="B23" i="1"/>
  <c r="C22" i="1"/>
  <c r="D22" i="1"/>
  <c r="B22" i="1"/>
  <c r="C159" i="1"/>
  <c r="D159" i="1"/>
  <c r="B159" i="1"/>
  <c r="C161" i="1"/>
  <c r="D161" i="1"/>
  <c r="C162" i="1"/>
  <c r="D162" i="1"/>
  <c r="B162" i="1"/>
  <c r="B161" i="1"/>
  <c r="C170" i="1"/>
  <c r="D170" i="1"/>
  <c r="B170" i="1"/>
  <c r="C173" i="1"/>
  <c r="D173" i="1"/>
  <c r="B173" i="1"/>
  <c r="C171" i="1"/>
  <c r="D171" i="1"/>
  <c r="B171" i="1"/>
  <c r="C174" i="1"/>
  <c r="D174" i="1"/>
  <c r="B174" i="1"/>
  <c r="C175" i="1"/>
  <c r="D175" i="1"/>
  <c r="B175" i="1"/>
  <c r="C176" i="1"/>
  <c r="D176" i="1"/>
  <c r="B176" i="1"/>
  <c r="C181" i="1"/>
  <c r="B181" i="1"/>
  <c r="C188" i="1"/>
  <c r="B188" i="1"/>
  <c r="C193" i="1"/>
  <c r="D193" i="1"/>
  <c r="B193" i="1"/>
  <c r="C194" i="1"/>
  <c r="B194" i="1"/>
  <c r="C209" i="1"/>
  <c r="B209" i="1"/>
  <c r="C235" i="1"/>
  <c r="B235" i="1"/>
  <c r="C238" i="1"/>
  <c r="D238" i="1"/>
  <c r="B238" i="1"/>
  <c r="C239" i="1"/>
  <c r="D239" i="1"/>
  <c r="B239" i="1"/>
  <c r="C234" i="1"/>
  <c r="B234" i="1"/>
  <c r="C214" i="1"/>
  <c r="B214" i="1"/>
  <c r="C200" i="1"/>
  <c r="B200" i="1"/>
  <c r="C168" i="1"/>
  <c r="B168" i="1"/>
  <c r="C157" i="1"/>
  <c r="B157" i="1"/>
  <c r="C151" i="1"/>
  <c r="B151" i="1"/>
  <c r="C121" i="1"/>
  <c r="B121" i="1"/>
  <c r="C106" i="1"/>
  <c r="B106" i="1"/>
  <c r="C58" i="1"/>
  <c r="B58" i="1"/>
  <c r="C21" i="1"/>
  <c r="B21" i="1"/>
</calcChain>
</file>

<file path=xl/sharedStrings.xml><?xml version="1.0" encoding="utf-8"?>
<sst xmlns="http://schemas.openxmlformats.org/spreadsheetml/2006/main" count="715" uniqueCount="527">
  <si>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</si>
  <si>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</si>
  <si>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</si>
  <si>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</si>
  <si>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</si>
  <si>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</si>
  <si>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</si>
  <si>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</si>
  <si>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</si>
  <si>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</si>
  <si>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</si>
  <si>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</si>
  <si>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</si>
  <si>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</si>
  <si>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</si>
  <si>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</si>
  <si>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</si>
  <si>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</si>
  <si>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</si>
  <si>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</si>
  <si>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</si>
  <si>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</si>
  <si>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</si>
  <si>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</si>
  <si>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</si>
  <si>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</si>
  <si>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</si>
  <si>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</si>
  <si>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</si>
  <si>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</si>
  <si>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</si>
  <si>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</si>
  <si>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</si>
  <si>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</si>
  <si>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</si>
  <si>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</si>
  <si>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</si>
  <si>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</si>
  <si>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</si>
  <si>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</si>
  <si>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</si>
  <si>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</si>
  <si>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</si>
  <si>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</si>
  <si>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</si>
  <si>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</si>
  <si>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</si>
  <si>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</si>
  <si>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</si>
  <si>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</si>
  <si>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</si>
  <si>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</si>
  <si>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</si>
  <si>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</si>
  <si>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</si>
  <si>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</si>
  <si>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</si>
  <si>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</si>
  <si>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0610</t>
  </si>
  <si>
    <t>6020</t>
  </si>
  <si>
    <t>0620</t>
  </si>
  <si>
    <t>4000</t>
  </si>
  <si>
    <t xml:space="preserve"> Культура і мистецтво</t>
  </si>
  <si>
    <t>4030</t>
  </si>
  <si>
    <t>0824</t>
  </si>
  <si>
    <t>0829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</si>
  <si>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</si>
  <si>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</si>
  <si>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</si>
  <si>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</si>
  <si>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</si>
  <si>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</si>
  <si>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</si>
  <si>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</si>
  <si>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</si>
  <si>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</si>
  <si>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</si>
  <si>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</si>
  <si>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</si>
  <si>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</si>
  <si>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</si>
  <si>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</si>
  <si>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</si>
  <si>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</si>
  <si>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</si>
  <si>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</si>
  <si>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</si>
  <si>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</si>
  <si>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3104</t>
  </si>
  <si>
    <t>3112</t>
  </si>
  <si>
    <t>3200</t>
  </si>
  <si>
    <t>1050</t>
  </si>
  <si>
    <t>3131</t>
  </si>
  <si>
    <t>3160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</si>
  <si>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</si>
  <si>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</si>
  <si>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</si>
  <si>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</si>
  <si>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</si>
  <si>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</si>
  <si>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</si>
  <si>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</si>
  <si>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</si>
  <si>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</si>
  <si>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</si>
  <si>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</si>
  <si>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</si>
  <si>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</si>
  <si>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6013</t>
  </si>
  <si>
    <t>6030</t>
  </si>
  <si>
    <t>Організація благоустрою населених пунктів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</si>
  <si>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</si>
  <si>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7000</t>
  </si>
  <si>
    <t>7130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</si>
  <si>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</si>
  <si>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</si>
  <si>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</si>
  <si>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</si>
  <si>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</si>
  <si>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</si>
  <si>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1517640</t>
  </si>
  <si>
    <t>Забезпечення діяльності водопровідно-каналізаційного господарства</t>
  </si>
  <si>
    <t>8120</t>
  </si>
  <si>
    <t>0200000</t>
  </si>
  <si>
    <t>0210000</t>
  </si>
  <si>
    <t>0210160</t>
  </si>
  <si>
    <t>0213036</t>
  </si>
  <si>
    <t>0213131</t>
  </si>
  <si>
    <t>0215011</t>
  </si>
  <si>
    <t>0215012</t>
  </si>
  <si>
    <t>0215031</t>
  </si>
  <si>
    <t>0215061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</si>
  <si>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</si>
  <si>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</si>
  <si>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</si>
  <si>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</si>
  <si>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</si>
  <si>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</si>
  <si>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</si>
  <si>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</si>
  <si>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</si>
  <si>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</si>
  <si>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</si>
  <si>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</si>
  <si>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</si>
  <si>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</si>
  <si>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</si>
  <si>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</si>
  <si>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</si>
  <si>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</si>
  <si>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</si>
  <si>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</si>
  <si>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</si>
  <si>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</si>
  <si>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</si>
  <si>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</si>
  <si>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</si>
  <si>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</si>
  <si>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</si>
  <si>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</si>
  <si>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</si>
  <si>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</si>
  <si>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</si>
  <si>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</si>
  <si>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1216013</t>
  </si>
  <si>
    <t>1216020</t>
  </si>
  <si>
    <t>1216030</t>
  </si>
  <si>
    <t>1217640</t>
  </si>
  <si>
    <t>1218340</t>
  </si>
  <si>
    <t>1219770</t>
  </si>
  <si>
    <t>1516084</t>
  </si>
  <si>
    <t>1710000</t>
  </si>
  <si>
    <t>1710160</t>
  </si>
  <si>
    <t>1700000</t>
  </si>
  <si>
    <t>3100000</t>
  </si>
  <si>
    <t>3110000</t>
  </si>
  <si>
    <t>3110160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</si>
  <si>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</si>
  <si>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</si>
  <si>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</si>
  <si>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</si>
  <si>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</si>
  <si>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</si>
  <si>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</si>
  <si>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</si>
  <si>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</si>
  <si>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</si>
  <si>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</si>
  <si>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</si>
  <si>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</si>
  <si>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</si>
  <si>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</si>
  <si>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</si>
  <si>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</si>
  <si>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</si>
  <si>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</si>
  <si>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</si>
  <si>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</si>
  <si>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</si>
  <si>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</si>
  <si>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</si>
  <si>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</si>
  <si>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</si>
  <si>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</si>
  <si>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</si>
  <si>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</si>
  <si>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</si>
  <si>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</si>
  <si>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</si>
  <si>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</si>
  <si>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</si>
  <si>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0213033</t>
  </si>
  <si>
    <t>3717640</t>
  </si>
  <si>
    <t>1216017</t>
  </si>
  <si>
    <t>6017</t>
  </si>
  <si>
    <t>3117693</t>
  </si>
  <si>
    <t>0819770</t>
  </si>
  <si>
    <t>7650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</si>
  <si>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</si>
  <si>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</si>
  <si>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1217330</t>
  </si>
  <si>
    <t>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</si>
  <si>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</si>
  <si>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</si>
  <si>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</si>
  <si>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</si>
  <si>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</si>
  <si>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</si>
  <si>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</si>
  <si>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</si>
  <si>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4081</t>
  </si>
  <si>
    <t>4082</t>
  </si>
  <si>
    <t>Інші заходи в галузі культури і мистецтва</t>
  </si>
  <si>
    <t>7691</t>
  </si>
  <si>
    <t>1217691</t>
  </si>
  <si>
    <t>0217691</t>
  </si>
  <si>
    <t>1213210</t>
  </si>
  <si>
    <t>0214081</t>
  </si>
  <si>
    <t>0213242</t>
  </si>
  <si>
    <t>0813241</t>
  </si>
  <si>
    <t>0813191</t>
  </si>
  <si>
    <t>0813192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</si>
  <si>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</si>
  <si>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</si>
  <si>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</si>
  <si>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</si>
  <si>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</si>
  <si>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</si>
  <si>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</si>
  <si>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</si>
  <si>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</si>
  <si>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</si>
  <si>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</si>
  <si>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</si>
  <si>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</si>
  <si>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</si>
  <si>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3717693</t>
  </si>
  <si>
    <t>1217670</t>
  </si>
  <si>
    <t>3111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</si>
  <si>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</si>
  <si>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</si>
  <si>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</si>
  <si>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</si>
  <si>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</si>
  <si>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</si>
  <si>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</si>
  <si>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</si>
  <si>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</si>
  <si>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</si>
  <si>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</si>
  <si>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</si>
  <si>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</si>
  <si>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</si>
  <si>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</si>
  <si>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0813033</t>
  </si>
  <si>
    <t>0813242</t>
  </si>
  <si>
    <t>Інші субвенції з місцевого бюджету</t>
  </si>
  <si>
    <t>0215032</t>
  </si>
  <si>
    <t>(грн)</t>
  </si>
  <si>
    <t>Надання пільг окремим категоріям громадян з оплати послуг зв'язку</t>
  </si>
  <si>
    <t>Управління  «Служба у справах дітей» Сумської міської ради</t>
  </si>
  <si>
    <t>Надання позашкільної освіти закладами позашкільної освіти, заходи із позашкільної роботи з дітьми</t>
  </si>
  <si>
    <t>1218110</t>
  </si>
  <si>
    <t>0219800</t>
  </si>
  <si>
    <t>іншої субвенції з місцевого бюджету</t>
  </si>
  <si>
    <t>Всього видатків,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</si>
  <si>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</si>
  <si>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</si>
  <si>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</si>
  <si>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</si>
  <si>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</si>
  <si>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</si>
  <si>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</si>
  <si>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Реалізація інших заходів щодо соціально-економічного розвитку територій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</si>
  <si>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</si>
  <si>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</si>
  <si>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</si>
  <si>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</si>
  <si>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</si>
  <si>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0611022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</si>
  <si>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</si>
  <si>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</si>
  <si>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</si>
  <si>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</si>
  <si>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</si>
  <si>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</si>
  <si>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</si>
  <si>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</si>
  <si>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</si>
  <si>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</si>
  <si>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</si>
  <si>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0613242</t>
  </si>
  <si>
    <t>0615031</t>
  </si>
  <si>
    <t>0617640</t>
  </si>
  <si>
    <t>0618340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</si>
  <si>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</si>
  <si>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</si>
  <si>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>1011080</t>
  </si>
  <si>
    <t>Забезпечення діяльності інших закладів у сфері освіти</t>
  </si>
  <si>
    <t>3718710</t>
  </si>
  <si>
    <t>Резервний фонд місцевого бюджету</t>
  </si>
  <si>
    <t>1210180</t>
  </si>
  <si>
    <t>(код бюджету)</t>
  </si>
  <si>
    <t>0611025</t>
  </si>
  <si>
    <t>Надання спеціалізованої освіти мистецькими школами</t>
  </si>
  <si>
    <t>0213133</t>
  </si>
  <si>
    <t>Багатопрофільна стаціонарна медична допомога населенню</t>
  </si>
  <si>
    <t>Фізична культура і спорт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</si>
  <si>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</si>
  <si>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</si>
  <si>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</si>
  <si>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</si>
  <si>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0611091</t>
  </si>
  <si>
    <t>0930</t>
  </si>
  <si>
    <t>Резервний фонд</t>
  </si>
  <si>
    <t>0218240</t>
  </si>
  <si>
    <t>Заходи та роботи з територіальної оборони</t>
  </si>
  <si>
    <t>Внески до статутного капіталу суб'єктів господарювання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</si>
  <si>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</si>
  <si>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</si>
  <si>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</si>
  <si>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</si>
  <si>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</si>
  <si>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3617370</t>
  </si>
  <si>
    <t>3617130</t>
  </si>
  <si>
    <t>3617650</t>
  </si>
  <si>
    <t>3617660</t>
  </si>
  <si>
    <t>3617693</t>
  </si>
  <si>
    <t>Соціальний захист та соціальне забезпечення, у т. ч. за рахунок: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</si>
  <si>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</si>
  <si>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</si>
  <si>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2700000</t>
  </si>
  <si>
    <t>2710160</t>
  </si>
  <si>
    <t>2710000</t>
  </si>
  <si>
    <t>2717610</t>
  </si>
  <si>
    <t>1218240</t>
  </si>
  <si>
    <t>0618240</t>
  </si>
  <si>
    <t>1853100000</t>
  </si>
  <si>
    <t>5010000</t>
  </si>
  <si>
    <t>5010160</t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</si>
  <si>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</si>
  <si>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</si>
  <si>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</si>
  <si>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</si>
  <si>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Керівництво і управління у відповідній сфері у містах (місті Києві), селищах, селах, територіальних громадах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</si>
  <si>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</si>
  <si>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</si>
  <si>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</si>
  <si>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Державне управління</t>
  </si>
  <si>
    <t>Надання загальної середньої освіти закладами загальної середньої освіти за рахунок коштів місцевого бюджету</t>
  </si>
  <si>
    <t>Міжбюджетні трансферти</t>
  </si>
  <si>
    <t>Заходи із запобігання та ліквідації надзвичайних ситуацій та наслідків стихійного лиха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</si>
  <si>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</si>
  <si>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Охорона здоров’я</t>
  </si>
  <si>
    <t>Управління охорони здоров’я Сумської міської ради</t>
  </si>
  <si>
    <t>Компенсаційні виплати на пільговий проїзд автомобільним транспортом окремим категоріям громадян, у т.ч. за рахунок: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</si>
  <si>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</si>
  <si>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</si>
  <si>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збору та вивезення сміття і відходів</t>
  </si>
  <si>
    <t>1216014</t>
  </si>
  <si>
    <t>1216092</t>
  </si>
  <si>
    <t>1217412</t>
  </si>
  <si>
    <t>1217450</t>
  </si>
  <si>
    <t>0456</t>
  </si>
  <si>
    <t>Інша діяльність у сфері транспорту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</si>
  <si>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</si>
  <si>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1217426</t>
  </si>
  <si>
    <t>Інші заходи у сфері електротранспорту</t>
  </si>
  <si>
    <t>0455</t>
  </si>
  <si>
    <t>трансфертів з державного бюджету, в т.ч.:</t>
  </si>
  <si>
    <t>1216091</t>
  </si>
  <si>
    <t>0813121</t>
  </si>
  <si>
    <t>3617691</t>
  </si>
  <si>
    <t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</si>
  <si>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0611031</t>
  </si>
  <si>
    <t>субвенції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</si>
  <si>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 за рахунок освітньої субвенції,  у т. ч. за рахунок:</t>
  </si>
  <si>
    <t>Управління  освіти і науки Сумської міської ради,  у т. ч. за рахунок:</t>
  </si>
  <si>
    <t>Освіта,  у т. ч. за рахунок:</t>
  </si>
  <si>
    <t>1152</t>
  </si>
  <si>
    <t>Забезпечення діяльності інклюзивно-ресурсних центрів за рахунок освітньої субвенції, у т. ч. за рахунок:</t>
  </si>
  <si>
    <t>0611152</t>
  </si>
  <si>
    <t>освітньої субвенції з державного бюджету місцевим бюджетам</t>
  </si>
  <si>
    <t>0611032</t>
  </si>
  <si>
    <t>1032</t>
  </si>
  <si>
    <t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</si>
  <si>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t>
  </si>
  <si>
    <t>0611035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</si>
  <si>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</si>
  <si>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0611092</t>
  </si>
  <si>
    <t>інші субвенції з місцевого бюджету</t>
  </si>
  <si>
    <t>0813050</t>
  </si>
  <si>
    <t>0813090</t>
  </si>
  <si>
    <t>0813171</t>
  </si>
  <si>
    <t>3050</t>
  </si>
  <si>
    <t>Пільгове медичне обслуговування осіб, які постраждали внаслідок Чорнобильської катастрофи, у т.ч. за рахунок:</t>
  </si>
  <si>
    <t>3090</t>
  </si>
  <si>
    <t>Видатки на поховання учасників бойових дій та осіб з інвалідністю внаслідок війни, у т.ч. за рахунок: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</si>
  <si>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</si>
  <si>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</si>
  <si>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t>
  </si>
  <si>
    <t>Забезпечення молодіжними центрами соціального
становлення та розвитку молоді та інші заходи у
сфері молодіжної політики</t>
  </si>
  <si>
    <t>Розвиток здібностей у дітей та молоді з фізичної
культури та спорту комунальними дитячо-юнацькими спортивними школами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</si>
  <si>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</si>
  <si>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</si>
  <si>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1183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</si>
  <si>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</si>
  <si>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t>
  </si>
  <si>
    <t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</si>
  <si>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>0611184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</si>
  <si>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</si>
  <si>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</si>
  <si>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t>
  </si>
  <si>
    <t>субвенції з державного бюджету місцевим бюджетам на надання державної пітримки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</si>
  <si>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</si>
  <si>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</si>
  <si>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здійснення доплат педагогічним працівникам закладів загальної середньої освіти</t>
  </si>
  <si>
    <t>0611600</t>
  </si>
  <si>
    <t>0913114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</si>
  <si>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</si>
  <si>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</si>
  <si>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</si>
  <si>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</si>
  <si>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</si>
  <si>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</si>
  <si>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</si>
  <si>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t>
  </si>
  <si>
    <t>0611700</t>
  </si>
  <si>
    <t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t>
  </si>
  <si>
    <t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</si>
  <si>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1241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</si>
  <si>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</si>
  <si>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0611241</t>
  </si>
  <si>
    <t>1300</t>
  </si>
  <si>
    <t>1511300</t>
  </si>
  <si>
    <t>1512170</t>
  </si>
  <si>
    <t>1516091</t>
  </si>
  <si>
    <t>1517330</t>
  </si>
  <si>
    <t>Регулювання цін на послуги місцевого наземного електротранспорту</t>
  </si>
  <si>
    <t>0453</t>
  </si>
  <si>
    <t>1217422</t>
  </si>
  <si>
    <t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t>
  </si>
  <si>
    <t>Будівництво1 інших об'єктів комунальної власності</t>
  </si>
  <si>
    <t>Регіональний розвиток та інші інвестиційні проекти, у т.ч. за рахунок:</t>
  </si>
  <si>
    <t>0611300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</si>
  <si>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</t>
    </r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</si>
  <si>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</si>
  <si>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</si>
  <si>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0712170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</si>
  <si>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</si>
  <si>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закладів охорони здоров'я</t>
    </r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</si>
  <si>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</si>
  <si>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t>
  </si>
  <si>
    <t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</si>
  <si>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0813193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</si>
  <si>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t>
  </si>
  <si>
    <t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</si>
  <si>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1217384</t>
  </si>
  <si>
    <t>Департамент інфраструктури міста Сумської міської ради, у т.ч. за рахунок: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</si>
  <si>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</si>
  <si>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</si>
  <si>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1511261</t>
  </si>
  <si>
    <t>1511262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</si>
  <si>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</si>
  <si>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t>
  </si>
  <si>
    <t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</si>
  <si>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1242</t>
  </si>
  <si>
    <t>Виконання заходів щодо реалізації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підготовкою, за рахунок субвенції з державного бюджету місцевим бюджетам, у т.ч. за рахунок:</t>
  </si>
  <si>
    <t>0611242</t>
  </si>
  <si>
    <t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</si>
  <si>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1216094</t>
  </si>
  <si>
    <t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</si>
  <si>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t>
  </si>
  <si>
    <t>Житлово-комунальне господарство, у т.ч. за рахунок:</t>
  </si>
  <si>
    <t>Виконавчий комітет Сумської міської ради, у т.ч. за рахунок:</t>
  </si>
  <si>
    <t>Заходи з організації рятування на водах, у т.ч. за рахунок:</t>
  </si>
  <si>
    <t>Інша діяльність, у т.ч. за рахунок:</t>
  </si>
  <si>
    <t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</si>
  <si>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Затверджено по бюджету з урахуванням змін (відповідно до казначейської звітності)</t>
  </si>
  <si>
    <t>Касові видатки</t>
  </si>
  <si>
    <t>% виконання до затвердженого по бюджету</t>
  </si>
  <si>
    <t>Звіт про виконання видаткової частини бюджету Сумської міської територіальної громади за І квартал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головними розпорядниками бюджетних коштів</t>
  </si>
  <si>
    <t xml:space="preserve">  Додаток 2</t>
  </si>
  <si>
    <t>до    рішення    Сумської    міської    ради</t>
  </si>
  <si>
    <t>«Про   звіт     про    виконання    бюджету</t>
  </si>
  <si>
    <t xml:space="preserve">Сумської міської територіальної громади </t>
  </si>
  <si>
    <t xml:space="preserve">від                        2025   року  №       -   МР     </t>
  </si>
  <si>
    <t>за  І квартал 2025 року»</t>
  </si>
  <si>
    <t>Звіт про виконання видаткової частини бюджету Сумської міської територіальної громади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І квартал 2025 року за типовою програмною класифікацією видатків та кредитування місцевих бюджетів</t>
  </si>
  <si>
    <t xml:space="preserve">  Додаток 5</t>
  </si>
  <si>
    <t>за І квартал 2025 року»</t>
  </si>
  <si>
    <t>Секретар Сумської міської ради</t>
  </si>
  <si>
    <t>Артем КОБЗАР</t>
  </si>
  <si>
    <t>Виконавець:______________ Світлана ЛИПОВА</t>
  </si>
  <si>
    <t>Усього видатків, у т.ч. за рахунок:</t>
  </si>
  <si>
    <t>в 2 рази</t>
  </si>
  <si>
    <t>в 11,1 разів</t>
  </si>
  <si>
    <t>в 118,2 разів</t>
  </si>
  <si>
    <t>в 1,3 рази</t>
  </si>
  <si>
    <t>в 1,6 разів</t>
  </si>
  <si>
    <t>в 17,1 разів</t>
  </si>
  <si>
    <t>в 1,3 разів</t>
  </si>
  <si>
    <t>% викона-ння до затвердже-ного по бюджету</t>
  </si>
  <si>
    <r>
      <t xml:space="preserve">Будівництво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</t>
    </r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</si>
  <si>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</si>
  <si>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Захист населення і територій від надзвичайних ситуацій , у т.ч. за рахунок:</t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</si>
  <si>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об'єктів житлово-комунального господарства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</si>
</sst>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2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2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name val="Times New Roman"/>
      <family val="1"/>
      <charset val="204"/>
    </font>
    <font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7"/>
      <name val="Times New Roman"/>
      <family val="1"/>
      <charset val="204"/>
    </font>
    <font>
      <sz val="24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30"/>
      <name val="Times New Roman"/>
      <family val="1"/>
      <charset val="204"/>
    </font>
    <font>
      <sz val="13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8" fillId="0" borderId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5" fillId="7" borderId="1" applyNumberFormat="0" applyAlignment="0" applyProtection="0"/>
    <xf numFmtId="0" fontId="6" fillId="22" borderId="2" applyNumberFormat="0" applyAlignment="0" applyProtection="0"/>
    <xf numFmtId="0" fontId="13" fillId="22" borderId="1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>
      <alignment vertical="top"/>
    </xf>
    <xf numFmtId="0" fontId="10" fillId="0" borderId="3" applyNumberFormat="0" applyFill="0" applyAlignment="0" applyProtection="0"/>
    <xf numFmtId="0" fontId="8" fillId="23" borderId="4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8" fillId="0" borderId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2" fillId="10" borderId="5" applyNumberFormat="0" applyFont="0" applyAlignment="0" applyProtection="0"/>
    <xf numFmtId="0" fontId="16" fillId="0" borderId="6" applyNumberFormat="0" applyFill="0" applyAlignment="0" applyProtection="0"/>
    <xf numFmtId="0" fontId="17" fillId="0" borderId="0"/>
    <xf numFmtId="0" fontId="7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31" fillId="24" borderId="0" applyNumberFormat="0" applyBorder="0" applyAlignment="0" applyProtection="0"/>
    <xf numFmtId="0" fontId="31" fillId="30" borderId="0" applyNumberFormat="0" applyBorder="0" applyAlignment="0" applyProtection="0"/>
    <xf numFmtId="0" fontId="32" fillId="36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2" fillId="37" borderId="0" applyNumberFormat="0" applyBorder="0" applyAlignment="0" applyProtection="0"/>
    <xf numFmtId="0" fontId="31" fillId="26" borderId="0" applyNumberFormat="0" applyBorder="0" applyAlignment="0" applyProtection="0"/>
    <xf numFmtId="0" fontId="31" fillId="32" borderId="0" applyNumberFormat="0" applyBorder="0" applyAlignment="0" applyProtection="0"/>
    <xf numFmtId="0" fontId="32" fillId="38" borderId="0" applyNumberFormat="0" applyBorder="0" applyAlignment="0" applyProtection="0"/>
    <xf numFmtId="0" fontId="31" fillId="27" borderId="0" applyNumberFormat="0" applyBorder="0" applyAlignment="0" applyProtection="0"/>
    <xf numFmtId="0" fontId="31" fillId="33" borderId="0" applyNumberFormat="0" applyBorder="0" applyAlignment="0" applyProtection="0"/>
    <xf numFmtId="0" fontId="32" fillId="39" borderId="0" applyNumberFormat="0" applyBorder="0" applyAlignment="0" applyProtection="0"/>
    <xf numFmtId="0" fontId="31" fillId="28" borderId="0" applyNumberFormat="0" applyBorder="0" applyAlignment="0" applyProtection="0"/>
    <xf numFmtId="0" fontId="31" fillId="34" borderId="0" applyNumberFormat="0" applyBorder="0" applyAlignment="0" applyProtection="0"/>
    <xf numFmtId="0" fontId="32" fillId="40" borderId="0" applyNumberFormat="0" applyBorder="0" applyAlignment="0" applyProtection="0"/>
    <xf numFmtId="0" fontId="31" fillId="29" borderId="0" applyNumberFormat="0" applyBorder="0" applyAlignment="0" applyProtection="0"/>
    <xf numFmtId="0" fontId="31" fillId="35" borderId="0" applyNumberFormat="0" applyBorder="0" applyAlignment="0" applyProtection="0"/>
    <xf numFmtId="0" fontId="32" fillId="41" borderId="0" applyNumberFormat="0" applyBorder="0" applyAlignment="0" applyProtection="0"/>
    <xf numFmtId="0" fontId="1" fillId="0" borderId="0"/>
  </cellStyleXfs>
  <cellXfs count="222">
    <xf numFmtId="0" fontId="0" fillId="0" borderId="0" xfId="0"/>
    <xf numFmtId="3" fontId="22" fillId="42" borderId="0" xfId="0" applyNumberFormat="1" applyFont="1" applyFill="1" applyAlignment="1">
      <alignment vertical="center"/>
    </xf>
    <xf numFmtId="3" fontId="24" fillId="42" borderId="0" xfId="0" applyNumberFormat="1" applyFont="1" applyFill="1" applyAlignment="1">
      <alignment vertical="center"/>
    </xf>
    <xf numFmtId="3" fontId="25" fillId="42" borderId="0" xfId="0" applyNumberFormat="1" applyFont="1" applyFill="1" applyAlignment="1">
      <alignment vertical="center"/>
    </xf>
    <xf numFmtId="3" fontId="42" fillId="42" borderId="0" xfId="0" applyNumberFormat="1" applyFont="1" applyFill="1"/>
    <xf numFmtId="49" fontId="22" fillId="42" borderId="0" xfId="0" applyNumberFormat="1" applyFont="1" applyFill="1" applyAlignment="1">
      <alignment horizontal="center"/>
    </xf>
    <xf numFmtId="3" fontId="22" fillId="42" borderId="0" xfId="0" applyNumberFormat="1" applyFont="1" applyFill="1" applyAlignment="1">
      <alignment horizontal="center"/>
    </xf>
    <xf numFmtId="3" fontId="22" fillId="42" borderId="0" xfId="0" applyNumberFormat="1" applyFont="1" applyFill="1" applyAlignment="1">
      <alignment horizontal="left" wrapText="1"/>
    </xf>
    <xf numFmtId="4" fontId="22" fillId="42" borderId="0" xfId="0" applyNumberFormat="1" applyFont="1" applyFill="1" applyAlignment="1">
      <alignment horizontal="center"/>
    </xf>
    <xf numFmtId="3" fontId="1" fillId="42" borderId="0" xfId="0" applyNumberFormat="1" applyFont="1" applyFill="1"/>
    <xf numFmtId="3" fontId="33" fillId="42" borderId="0" xfId="0" applyNumberFormat="1" applyFont="1" applyFill="1"/>
    <xf numFmtId="3" fontId="22" fillId="42" borderId="0" xfId="0" applyNumberFormat="1" applyFont="1" applyFill="1"/>
    <xf numFmtId="3" fontId="23" fillId="42" borderId="0" xfId="0" applyNumberFormat="1" applyFont="1" applyFill="1" applyAlignment="1">
      <alignment horizontal="center" vertical="center" wrapText="1"/>
    </xf>
    <xf numFmtId="3" fontId="23" fillId="42" borderId="0" xfId="0" applyNumberFormat="1" applyFont="1" applyFill="1" applyAlignment="1">
      <alignment vertical="center"/>
    </xf>
    <xf numFmtId="3" fontId="26" fillId="42" borderId="0" xfId="0" applyNumberFormat="1" applyFont="1" applyFill="1" applyAlignment="1">
      <alignment vertical="center" textRotation="180"/>
    </xf>
    <xf numFmtId="3" fontId="26" fillId="42" borderId="0" xfId="0" applyNumberFormat="1" applyFont="1" applyFill="1"/>
    <xf numFmtId="4" fontId="22" fillId="42" borderId="8" xfId="0" applyNumberFormat="1" applyFont="1" applyFill="1" applyBorder="1" applyAlignment="1">
      <alignment horizontal="center"/>
    </xf>
    <xf numFmtId="3" fontId="23" fillId="42" borderId="7" xfId="0" applyNumberFormat="1" applyFont="1" applyFill="1" applyBorder="1" applyAlignment="1">
      <alignment horizontal="center" vertical="center" wrapText="1"/>
    </xf>
    <xf numFmtId="3" fontId="22" fillId="43" borderId="0" xfId="0" applyNumberFormat="1" applyFont="1" applyFill="1" applyAlignment="1">
      <alignment vertical="center"/>
    </xf>
    <xf numFmtId="3" fontId="24" fillId="43" borderId="0" xfId="0" applyNumberFormat="1" applyFont="1" applyFill="1" applyAlignment="1">
      <alignment vertical="center"/>
    </xf>
    <xf numFmtId="3" fontId="25" fillId="43" borderId="0" xfId="0" applyNumberFormat="1" applyFont="1" applyFill="1" applyAlignment="1">
      <alignment vertical="center"/>
    </xf>
    <xf numFmtId="49" fontId="22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left" wrapText="1"/>
    </xf>
    <xf numFmtId="4" fontId="22" fillId="0" borderId="0" xfId="0" applyNumberFormat="1" applyFont="1" applyFill="1" applyAlignment="1">
      <alignment horizontal="center"/>
    </xf>
    <xf numFmtId="4" fontId="42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4" fontId="40" fillId="0" borderId="0" xfId="0" applyNumberFormat="1" applyFont="1" applyFill="1"/>
    <xf numFmtId="3" fontId="33" fillId="0" borderId="0" xfId="0" applyNumberFormat="1" applyFont="1" applyFill="1"/>
    <xf numFmtId="4" fontId="30" fillId="0" borderId="0" xfId="0" applyNumberFormat="1" applyFont="1" applyFill="1" applyAlignment="1">
      <alignment horizontal="center" wrapText="1"/>
    </xf>
    <xf numFmtId="3" fontId="22" fillId="0" borderId="0" xfId="0" applyNumberFormat="1" applyFont="1" applyFill="1"/>
    <xf numFmtId="3" fontId="23" fillId="0" borderId="0" xfId="0" applyNumberFormat="1" applyFont="1" applyFill="1" applyAlignment="1">
      <alignment horizontal="center" vertical="center" wrapText="1"/>
    </xf>
    <xf numFmtId="49" fontId="27" fillId="0" borderId="7" xfId="0" applyNumberFormat="1" applyFont="1" applyFill="1" applyBorder="1" applyAlignment="1">
      <alignment horizontal="center" vertical="center" wrapText="1"/>
    </xf>
    <xf numFmtId="3" fontId="27" fillId="0" borderId="7" xfId="0" applyNumberFormat="1" applyFont="1" applyFill="1" applyBorder="1" applyAlignment="1">
      <alignment horizontal="left" vertical="center" wrapText="1"/>
    </xf>
    <xf numFmtId="4" fontId="27" fillId="0" borderId="7" xfId="0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>
      <alignment vertical="center"/>
    </xf>
    <xf numFmtId="49" fontId="29" fillId="0" borderId="7" xfId="0" applyNumberFormat="1" applyFont="1" applyFill="1" applyBorder="1" applyAlignment="1">
      <alignment horizontal="center" vertical="center" wrapText="1"/>
    </xf>
    <xf numFmtId="3" fontId="29" fillId="0" borderId="7" xfId="0" applyNumberFormat="1" applyFont="1" applyFill="1" applyBorder="1" applyAlignment="1">
      <alignment horizontal="center" vertical="center" wrapText="1"/>
    </xf>
    <xf numFmtId="3" fontId="29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vertical="center"/>
    </xf>
    <xf numFmtId="49" fontId="20" fillId="0" borderId="7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3" fontId="20" fillId="0" borderId="7" xfId="0" applyNumberFormat="1" applyFont="1" applyFill="1" applyBorder="1" applyAlignment="1">
      <alignment horizontal="left" vertical="center" wrapText="1"/>
    </xf>
    <xf numFmtId="4" fontId="20" fillId="0" borderId="7" xfId="0" applyNumberFormat="1" applyFont="1" applyFill="1" applyBorder="1" applyAlignment="1">
      <alignment horizontal="right" wrapText="1"/>
    </xf>
    <xf numFmtId="3" fontId="22" fillId="0" borderId="0" xfId="0" applyNumberFormat="1" applyFont="1" applyFill="1" applyAlignment="1">
      <alignment vertical="center"/>
    </xf>
    <xf numFmtId="1" fontId="20" fillId="0" borderId="7" xfId="0" applyNumberFormat="1" applyFont="1" applyFill="1" applyBorder="1" applyAlignment="1">
      <alignment horizontal="left" vertical="center" wrapText="1"/>
    </xf>
    <xf numFmtId="1" fontId="27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left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1" fontId="28" fillId="0" borderId="7" xfId="0" applyNumberFormat="1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wrapText="1"/>
    </xf>
    <xf numFmtId="3" fontId="24" fillId="0" borderId="0" xfId="0" applyNumberFormat="1" applyFont="1" applyFill="1" applyAlignment="1">
      <alignment vertical="center"/>
    </xf>
    <xf numFmtId="3" fontId="28" fillId="0" borderId="7" xfId="0" applyNumberFormat="1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3" fontId="20" fillId="0" borderId="7" xfId="0" applyNumberFormat="1" applyFont="1" applyFill="1" applyBorder="1" applyAlignment="1">
      <alignment horizontal="left" vertical="top" wrapText="1"/>
    </xf>
    <xf numFmtId="49" fontId="20" fillId="0" borderId="7" xfId="0" applyNumberFormat="1" applyFont="1" applyFill="1" applyBorder="1" applyAlignment="1">
      <alignment horizontal="left" vertical="center" wrapText="1"/>
    </xf>
    <xf numFmtId="49" fontId="29" fillId="0" borderId="0" xfId="0" applyNumberFormat="1" applyFont="1" applyFill="1" applyBorder="1" applyAlignment="1">
      <alignment horizontal="center" vertical="center" wrapText="1"/>
    </xf>
    <xf numFmtId="1" fontId="29" fillId="0" borderId="0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left" vertical="center" wrapText="1"/>
    </xf>
    <xf numFmtId="4" fontId="29" fillId="0" borderId="0" xfId="0" applyNumberFormat="1" applyFont="1" applyFill="1" applyBorder="1" applyAlignment="1">
      <alignment horizontal="right" wrapText="1"/>
    </xf>
    <xf numFmtId="3" fontId="42" fillId="0" borderId="0" xfId="0" applyNumberFormat="1" applyFont="1" applyFill="1"/>
    <xf numFmtId="49" fontId="26" fillId="0" borderId="0" xfId="0" applyNumberFormat="1" applyFont="1" applyFill="1" applyAlignment="1">
      <alignment horizontal="center"/>
    </xf>
    <xf numFmtId="3" fontId="26" fillId="0" borderId="0" xfId="0" applyNumberFormat="1" applyFont="1" applyFill="1" applyAlignment="1">
      <alignment horizontal="center"/>
    </xf>
    <xf numFmtId="4" fontId="33" fillId="0" borderId="7" xfId="0" applyNumberFormat="1" applyFont="1" applyFill="1" applyBorder="1" applyAlignment="1">
      <alignment horizontal="center"/>
    </xf>
    <xf numFmtId="3" fontId="26" fillId="0" borderId="0" xfId="0" applyNumberFormat="1" applyFont="1" applyFill="1"/>
    <xf numFmtId="4" fontId="22" fillId="0" borderId="7" xfId="0" applyNumberFormat="1" applyFont="1" applyFill="1" applyBorder="1" applyAlignment="1">
      <alignment horizontal="center"/>
    </xf>
    <xf numFmtId="3" fontId="26" fillId="0" borderId="0" xfId="0" applyNumberFormat="1" applyFont="1" applyFill="1" applyAlignment="1">
      <alignment vertical="center" textRotation="180"/>
    </xf>
    <xf numFmtId="0" fontId="26" fillId="0" borderId="0" xfId="0" applyFont="1" applyFill="1" applyAlignment="1">
      <alignment vertical="center" textRotation="180"/>
    </xf>
    <xf numFmtId="0" fontId="27" fillId="0" borderId="7" xfId="0" applyFont="1" applyFill="1" applyBorder="1" applyAlignment="1">
      <alignment vertical="center" wrapText="1"/>
    </xf>
    <xf numFmtId="4" fontId="27" fillId="0" borderId="7" xfId="0" applyNumberFormat="1" applyFont="1" applyFill="1" applyBorder="1" applyAlignment="1">
      <alignment horizontal="right"/>
    </xf>
    <xf numFmtId="1" fontId="20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 wrapText="1"/>
    </xf>
    <xf numFmtId="4" fontId="20" fillId="0" borderId="7" xfId="0" applyNumberFormat="1" applyFont="1" applyFill="1" applyBorder="1" applyAlignment="1">
      <alignment horizontal="right"/>
    </xf>
    <xf numFmtId="1" fontId="27" fillId="0" borderId="7" xfId="0" applyNumberFormat="1" applyFont="1" applyFill="1" applyBorder="1" applyAlignment="1">
      <alignment horizontal="center" vertical="center"/>
    </xf>
    <xf numFmtId="1" fontId="29" fillId="0" borderId="7" xfId="0" applyNumberFormat="1" applyFont="1" applyFill="1" applyBorder="1" applyAlignment="1">
      <alignment horizontal="center" vertical="center"/>
    </xf>
    <xf numFmtId="4" fontId="29" fillId="0" borderId="7" xfId="0" applyNumberFormat="1" applyFont="1" applyFill="1" applyBorder="1" applyAlignment="1">
      <alignment horizontal="right"/>
    </xf>
    <xf numFmtId="1" fontId="28" fillId="0" borderId="7" xfId="0" applyNumberFormat="1" applyFont="1" applyFill="1" applyBorder="1" applyAlignment="1">
      <alignment horizontal="center" vertical="center"/>
    </xf>
    <xf numFmtId="4" fontId="28" fillId="0" borderId="7" xfId="0" applyNumberFormat="1" applyFont="1" applyFill="1" applyBorder="1" applyAlignment="1">
      <alignment horizontal="right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3" fontId="20" fillId="0" borderId="7" xfId="0" applyNumberFormat="1" applyFont="1" applyFill="1" applyBorder="1" applyAlignment="1" applyProtection="1">
      <alignment horizontal="left" vertical="center" wrapText="1"/>
    </xf>
    <xf numFmtId="1" fontId="20" fillId="0" borderId="7" xfId="0" applyNumberFormat="1" applyFont="1" applyFill="1" applyBorder="1" applyAlignment="1" applyProtection="1">
      <alignment horizontal="center" vertical="center" wrapText="1"/>
    </xf>
    <xf numFmtId="1" fontId="28" fillId="0" borderId="7" xfId="0" applyNumberFormat="1" applyFont="1" applyFill="1" applyBorder="1" applyAlignment="1" applyProtection="1">
      <alignment horizontal="center" vertical="center" wrapText="1"/>
    </xf>
    <xf numFmtId="49" fontId="28" fillId="0" borderId="7" xfId="0" applyNumberFormat="1" applyFont="1" applyFill="1" applyBorder="1" applyAlignment="1" applyProtection="1">
      <alignment horizontal="center" vertical="center" wrapText="1"/>
    </xf>
    <xf numFmtId="1" fontId="27" fillId="0" borderId="7" xfId="0" applyNumberFormat="1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top" wrapText="1"/>
    </xf>
    <xf numFmtId="49" fontId="20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left" vertical="center"/>
    </xf>
    <xf numFmtId="1" fontId="29" fillId="0" borderId="0" xfId="0" applyNumberFormat="1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left" vertical="center" wrapText="1"/>
    </xf>
    <xf numFmtId="4" fontId="29" fillId="0" borderId="0" xfId="0" applyNumberFormat="1" applyFont="1" applyFill="1" applyAlignment="1">
      <alignment horizontal="right"/>
    </xf>
    <xf numFmtId="1" fontId="20" fillId="0" borderId="7" xfId="0" applyNumberFormat="1" applyFont="1" applyFill="1" applyBorder="1" applyAlignment="1">
      <alignment horizontal="left" vertical="top" wrapText="1"/>
    </xf>
    <xf numFmtId="3" fontId="26" fillId="0" borderId="9" xfId="0" applyNumberFormat="1" applyFont="1" applyFill="1" applyBorder="1" applyAlignment="1">
      <alignment vertical="center" textRotation="180"/>
    </xf>
    <xf numFmtId="0" fontId="20" fillId="0" borderId="0" xfId="0" applyFont="1" applyFill="1"/>
    <xf numFmtId="3" fontId="22" fillId="44" borderId="0" xfId="0" applyNumberFormat="1" applyFont="1" applyFill="1" applyAlignment="1">
      <alignment vertical="center"/>
    </xf>
    <xf numFmtId="3" fontId="24" fillId="44" borderId="0" xfId="0" applyNumberFormat="1" applyFont="1" applyFill="1" applyAlignment="1">
      <alignment vertical="center"/>
    </xf>
    <xf numFmtId="49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wrapText="1"/>
    </xf>
    <xf numFmtId="4" fontId="20" fillId="0" borderId="0" xfId="0" applyNumberFormat="1" applyFont="1" applyFill="1"/>
    <xf numFmtId="3" fontId="23" fillId="43" borderId="0" xfId="0" applyNumberFormat="1" applyFont="1" applyFill="1" applyAlignment="1">
      <alignment vertical="center"/>
    </xf>
    <xf numFmtId="0" fontId="27" fillId="0" borderId="0" xfId="0" applyFont="1" applyFill="1"/>
    <xf numFmtId="0" fontId="28" fillId="0" borderId="0" xfId="0" applyFont="1" applyFill="1"/>
    <xf numFmtId="0" fontId="41" fillId="0" borderId="0" xfId="0" applyFont="1" applyFill="1"/>
    <xf numFmtId="4" fontId="27" fillId="0" borderId="0" xfId="0" applyNumberFormat="1" applyFont="1" applyFill="1"/>
    <xf numFmtId="0" fontId="29" fillId="0" borderId="0" xfId="0" applyFont="1" applyFill="1"/>
    <xf numFmtId="49" fontId="27" fillId="0" borderId="7" xfId="0" applyNumberFormat="1" applyFont="1" applyFill="1" applyBorder="1" applyAlignment="1">
      <alignment horizontal="left" vertical="center" wrapText="1"/>
    </xf>
    <xf numFmtId="4" fontId="40" fillId="0" borderId="0" xfId="0" applyNumberFormat="1" applyFont="1" applyFill="1" applyAlignment="1">
      <alignment horizontal="left" indent="1"/>
    </xf>
    <xf numFmtId="0" fontId="30" fillId="0" borderId="0" xfId="0" applyFont="1" applyFill="1"/>
    <xf numFmtId="3" fontId="29" fillId="0" borderId="7" xfId="0" applyNumberFormat="1" applyFont="1" applyFill="1" applyBorder="1" applyAlignment="1">
      <alignment vertical="center" wrapText="1"/>
    </xf>
    <xf numFmtId="49" fontId="29" fillId="0" borderId="7" xfId="0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26" fillId="0" borderId="0" xfId="0" applyFont="1" applyFill="1" applyAlignment="1">
      <alignment horizontal="center" vertical="center" textRotation="180"/>
    </xf>
    <xf numFmtId="0" fontId="20" fillId="43" borderId="0" xfId="0" applyFont="1" applyFill="1"/>
    <xf numFmtId="0" fontId="28" fillId="43" borderId="0" xfId="0" applyFont="1" applyFill="1"/>
    <xf numFmtId="0" fontId="29" fillId="43" borderId="0" xfId="0" applyFont="1" applyFill="1"/>
    <xf numFmtId="4" fontId="29" fillId="43" borderId="0" xfId="0" applyNumberFormat="1" applyFont="1" applyFill="1"/>
    <xf numFmtId="3" fontId="26" fillId="0" borderId="9" xfId="0" applyNumberFormat="1" applyFont="1" applyFill="1" applyBorder="1" applyAlignment="1">
      <alignment horizontal="center" vertical="center" textRotation="180"/>
    </xf>
    <xf numFmtId="3" fontId="27" fillId="0" borderId="7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/>
    <xf numFmtId="1" fontId="20" fillId="0" borderId="7" xfId="0" applyNumberFormat="1" applyFont="1" applyFill="1" applyBorder="1" applyAlignment="1">
      <alignment horizontal="left" wrapText="1"/>
    </xf>
    <xf numFmtId="1" fontId="28" fillId="0" borderId="7" xfId="0" applyNumberFormat="1" applyFont="1" applyFill="1" applyBorder="1" applyAlignment="1">
      <alignment horizontal="left" wrapText="1"/>
    </xf>
    <xf numFmtId="49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 wrapText="1"/>
    </xf>
    <xf numFmtId="4" fontId="40" fillId="0" borderId="0" xfId="0" applyNumberFormat="1" applyFont="1" applyFill="1" applyAlignment="1">
      <alignment horizontal="left" indent="1"/>
    </xf>
    <xf numFmtId="0" fontId="34" fillId="0" borderId="0" xfId="0" applyFont="1" applyFill="1" applyAlignment="1">
      <alignment horizontal="center" vertical="top"/>
    </xf>
    <xf numFmtId="4" fontId="42" fillId="0" borderId="0" xfId="0" applyNumberFormat="1" applyFont="1" applyFill="1" applyAlignment="1"/>
    <xf numFmtId="4" fontId="30" fillId="0" borderId="0" xfId="0" applyNumberFormat="1" applyFont="1" applyFill="1" applyBorder="1" applyAlignment="1">
      <alignment horizontal="center" wrapText="1"/>
    </xf>
    <xf numFmtId="49" fontId="22" fillId="0" borderId="0" xfId="0" applyNumberFormat="1" applyFont="1" applyFill="1" applyAlignment="1"/>
    <xf numFmtId="0" fontId="44" fillId="0" borderId="0" xfId="0" applyFont="1" applyFill="1" applyAlignment="1">
      <alignment vertical="center"/>
    </xf>
    <xf numFmtId="3" fontId="44" fillId="0" borderId="0" xfId="0" applyNumberFormat="1" applyFont="1" applyFill="1" applyAlignment="1"/>
    <xf numFmtId="0" fontId="47" fillId="0" borderId="0" xfId="0" applyFont="1" applyFill="1" applyAlignment="1">
      <alignment vertical="center"/>
    </xf>
    <xf numFmtId="3" fontId="47" fillId="0" borderId="0" xfId="0" applyNumberFormat="1" applyFont="1" applyFill="1" applyAlignment="1"/>
    <xf numFmtId="3" fontId="42" fillId="0" borderId="0" xfId="0" applyNumberFormat="1" applyFont="1" applyFill="1" applyAlignment="1">
      <alignment vertical="top" wrapText="1"/>
    </xf>
    <xf numFmtId="3" fontId="42" fillId="0" borderId="0" xfId="0" applyNumberFormat="1" applyFont="1" applyFill="1" applyAlignment="1">
      <alignment wrapText="1"/>
    </xf>
    <xf numFmtId="4" fontId="20" fillId="42" borderId="0" xfId="0" applyNumberFormat="1" applyFont="1" applyFill="1" applyAlignment="1">
      <alignment horizontal="center"/>
    </xf>
    <xf numFmtId="164" fontId="27" fillId="42" borderId="0" xfId="0" applyNumberFormat="1" applyFont="1" applyFill="1" applyAlignment="1">
      <alignment horizontal="center"/>
    </xf>
    <xf numFmtId="4" fontId="20" fillId="42" borderId="0" xfId="0" applyNumberFormat="1" applyFont="1" applyFill="1"/>
    <xf numFmtId="49" fontId="48" fillId="42" borderId="0" xfId="0" applyNumberFormat="1" applyFont="1" applyFill="1" applyBorder="1" applyAlignment="1" applyProtection="1">
      <alignment horizontal="left" vertical="center" wrapText="1"/>
    </xf>
    <xf numFmtId="49" fontId="48" fillId="42" borderId="0" xfId="0" applyNumberFormat="1" applyFont="1" applyFill="1" applyBorder="1" applyAlignment="1" applyProtection="1">
      <alignment horizontal="center" vertical="center" wrapText="1"/>
    </xf>
    <xf numFmtId="164" fontId="49" fillId="42" borderId="0" xfId="0" applyNumberFormat="1" applyFont="1" applyFill="1" applyBorder="1" applyAlignment="1" applyProtection="1">
      <alignment horizontal="center" vertical="center" wrapText="1"/>
    </xf>
    <xf numFmtId="49" fontId="49" fillId="42" borderId="0" xfId="0" applyNumberFormat="1" applyFont="1" applyFill="1" applyBorder="1" applyAlignment="1" applyProtection="1">
      <alignment horizontal="center" vertical="center" wrapText="1"/>
    </xf>
    <xf numFmtId="0" fontId="50" fillId="42" borderId="0" xfId="0" applyFont="1" applyFill="1" applyAlignment="1">
      <alignment vertical="top"/>
    </xf>
    <xf numFmtId="4" fontId="20" fillId="42" borderId="0" xfId="0" applyNumberFormat="1" applyFont="1" applyFill="1" applyAlignment="1">
      <alignment horizontal="center" vertical="center"/>
    </xf>
    <xf numFmtId="164" fontId="27" fillId="42" borderId="0" xfId="0" applyNumberFormat="1" applyFont="1" applyFill="1"/>
    <xf numFmtId="3" fontId="27" fillId="42" borderId="0" xfId="0" applyNumberFormat="1" applyFont="1" applyFill="1"/>
    <xf numFmtId="49" fontId="29" fillId="43" borderId="0" xfId="0" applyNumberFormat="1" applyFont="1" applyFill="1" applyAlignment="1">
      <alignment horizontal="center" vertical="center"/>
    </xf>
    <xf numFmtId="0" fontId="29" fillId="43" borderId="0" xfId="0" applyFont="1" applyFill="1" applyAlignment="1">
      <alignment wrapText="1"/>
    </xf>
    <xf numFmtId="0" fontId="29" fillId="43" borderId="0" xfId="0" applyFont="1" applyFill="1" applyAlignment="1">
      <alignment horizontal="left" vertical="top" wrapText="1"/>
    </xf>
    <xf numFmtId="0" fontId="29" fillId="43" borderId="0" xfId="0" applyFont="1" applyFill="1" applyAlignment="1">
      <alignment horizontal="center" vertical="center" textRotation="180"/>
    </xf>
    <xf numFmtId="164" fontId="22" fillId="0" borderId="0" xfId="0" applyNumberFormat="1" applyFont="1" applyFill="1" applyAlignment="1"/>
    <xf numFmtId="164" fontId="34" fillId="0" borderId="0" xfId="0" applyNumberFormat="1" applyFont="1" applyFill="1" applyAlignment="1">
      <alignment horizontal="center" vertical="top"/>
    </xf>
    <xf numFmtId="164" fontId="27" fillId="0" borderId="7" xfId="0" applyNumberFormat="1" applyFont="1" applyFill="1" applyBorder="1" applyAlignment="1">
      <alignment horizontal="right" wrapText="1"/>
    </xf>
    <xf numFmtId="164" fontId="29" fillId="0" borderId="7" xfId="0" applyNumberFormat="1" applyFont="1" applyFill="1" applyBorder="1" applyAlignment="1">
      <alignment horizontal="right" wrapText="1"/>
    </xf>
    <xf numFmtId="164" fontId="20" fillId="0" borderId="7" xfId="0" applyNumberFormat="1" applyFont="1" applyFill="1" applyBorder="1" applyAlignment="1">
      <alignment horizontal="right" wrapText="1"/>
    </xf>
    <xf numFmtId="164" fontId="28" fillId="0" borderId="7" xfId="0" applyNumberFormat="1" applyFont="1" applyFill="1" applyBorder="1" applyAlignment="1">
      <alignment horizontal="right" wrapText="1"/>
    </xf>
    <xf numFmtId="164" fontId="29" fillId="0" borderId="0" xfId="0" applyNumberFormat="1" applyFont="1" applyFill="1" applyBorder="1" applyAlignment="1">
      <alignment horizontal="right" wrapText="1"/>
    </xf>
    <xf numFmtId="164" fontId="42" fillId="0" borderId="0" xfId="0" applyNumberFormat="1" applyFont="1" applyFill="1" applyAlignment="1">
      <alignment horizontal="center"/>
    </xf>
    <xf numFmtId="164" fontId="33" fillId="0" borderId="7" xfId="0" applyNumberFormat="1" applyFont="1" applyFill="1" applyBorder="1" applyAlignment="1">
      <alignment horizontal="center"/>
    </xf>
    <xf numFmtId="164" fontId="22" fillId="0" borderId="7" xfId="0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22" fillId="42" borderId="0" xfId="0" applyNumberFormat="1" applyFont="1" applyFill="1" applyAlignment="1">
      <alignment horizontal="center"/>
    </xf>
    <xf numFmtId="164" fontId="20" fillId="0" borderId="0" xfId="0" applyNumberFormat="1" applyFont="1" applyFill="1"/>
    <xf numFmtId="164" fontId="27" fillId="0" borderId="7" xfId="0" applyNumberFormat="1" applyFont="1" applyFill="1" applyBorder="1" applyAlignment="1">
      <alignment horizontal="right"/>
    </xf>
    <xf numFmtId="164" fontId="20" fillId="0" borderId="7" xfId="0" applyNumberFormat="1" applyFont="1" applyFill="1" applyBorder="1" applyAlignment="1">
      <alignment horizontal="right"/>
    </xf>
    <xf numFmtId="164" fontId="29" fillId="0" borderId="7" xfId="0" applyNumberFormat="1" applyFont="1" applyFill="1" applyBorder="1" applyAlignment="1">
      <alignment horizontal="right"/>
    </xf>
    <xf numFmtId="164" fontId="28" fillId="0" borderId="7" xfId="0" applyNumberFormat="1" applyFont="1" applyFill="1" applyBorder="1" applyAlignment="1">
      <alignment horizontal="right"/>
    </xf>
    <xf numFmtId="164" fontId="29" fillId="0" borderId="0" xfId="0" applyNumberFormat="1" applyFont="1" applyFill="1" applyAlignment="1">
      <alignment horizontal="right"/>
    </xf>
    <xf numFmtId="164" fontId="20" fillId="42" borderId="0" xfId="0" applyNumberFormat="1" applyFont="1" applyFill="1" applyAlignment="1">
      <alignment horizontal="center"/>
    </xf>
    <xf numFmtId="164" fontId="29" fillId="43" borderId="0" xfId="0" applyNumberFormat="1" applyFont="1" applyFill="1" applyAlignment="1">
      <alignment horizontal="left" vertical="top" wrapText="1"/>
    </xf>
    <xf numFmtId="164" fontId="42" fillId="0" borderId="0" xfId="0" applyNumberFormat="1" applyFont="1" applyFill="1" applyAlignment="1"/>
    <xf numFmtId="164" fontId="40" fillId="0" borderId="0" xfId="0" applyNumberFormat="1" applyFont="1" applyFill="1" applyAlignment="1">
      <alignment horizontal="left" indent="1"/>
    </xf>
    <xf numFmtId="164" fontId="40" fillId="0" borderId="0" xfId="0" applyNumberFormat="1" applyFont="1" applyFill="1"/>
    <xf numFmtId="164" fontId="48" fillId="42" borderId="0" xfId="0" applyNumberFormat="1" applyFont="1" applyFill="1" applyBorder="1" applyAlignment="1" applyProtection="1">
      <alignment horizontal="center" vertical="center" wrapText="1"/>
    </xf>
    <xf numFmtId="164" fontId="20" fillId="42" borderId="0" xfId="0" applyNumberFormat="1" applyFont="1" applyFill="1"/>
    <xf numFmtId="4" fontId="27" fillId="0" borderId="7" xfId="0" applyNumberFormat="1" applyFont="1" applyFill="1" applyBorder="1" applyAlignment="1">
      <alignment horizontal="center" vertical="center" wrapText="1"/>
    </xf>
    <xf numFmtId="4" fontId="23" fillId="0" borderId="7" xfId="0" applyNumberFormat="1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 wrapText="1"/>
    </xf>
    <xf numFmtId="4" fontId="37" fillId="0" borderId="7" xfId="0" applyNumberFormat="1" applyFont="1" applyFill="1" applyBorder="1" applyAlignment="1">
      <alignment horizontal="right"/>
    </xf>
    <xf numFmtId="164" fontId="37" fillId="0" borderId="7" xfId="0" applyNumberFormat="1" applyFont="1" applyFill="1" applyBorder="1" applyAlignment="1">
      <alignment horizontal="right"/>
    </xf>
    <xf numFmtId="0" fontId="51" fillId="0" borderId="0" xfId="0" applyFont="1" applyFill="1" applyAlignment="1">
      <alignment vertical="center" textRotation="180"/>
    </xf>
    <xf numFmtId="0" fontId="37" fillId="0" borderId="0" xfId="0" applyFont="1" applyFill="1"/>
    <xf numFmtId="4" fontId="30" fillId="0" borderId="10" xfId="0" applyNumberFormat="1" applyFont="1" applyFill="1" applyBorder="1" applyAlignment="1">
      <alignment horizontal="center" wrapText="1"/>
    </xf>
    <xf numFmtId="49" fontId="27" fillId="0" borderId="11" xfId="0" applyNumberFormat="1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left" vertical="center" wrapText="1"/>
    </xf>
    <xf numFmtId="4" fontId="27" fillId="0" borderId="11" xfId="0" applyNumberFormat="1" applyFont="1" applyFill="1" applyBorder="1" applyAlignment="1">
      <alignment horizontal="right" wrapText="1"/>
    </xf>
    <xf numFmtId="164" fontId="27" fillId="0" borderId="11" xfId="0" applyNumberFormat="1" applyFont="1" applyFill="1" applyBorder="1" applyAlignment="1">
      <alignment horizontal="right" wrapText="1"/>
    </xf>
    <xf numFmtId="49" fontId="27" fillId="0" borderId="11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vertical="center" wrapText="1"/>
    </xf>
    <xf numFmtId="4" fontId="27" fillId="0" borderId="11" xfId="0" applyNumberFormat="1" applyFont="1" applyFill="1" applyBorder="1" applyAlignment="1">
      <alignment horizontal="right"/>
    </xf>
    <xf numFmtId="164" fontId="27" fillId="0" borderId="11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center" vertical="center" wrapText="1"/>
    </xf>
    <xf numFmtId="4" fontId="38" fillId="0" borderId="7" xfId="0" applyNumberFormat="1" applyFont="1" applyFill="1" applyBorder="1" applyAlignment="1">
      <alignment horizontal="center" vertical="center" wrapText="1"/>
    </xf>
    <xf numFmtId="4" fontId="27" fillId="0" borderId="7" xfId="0" applyNumberFormat="1" applyFont="1" applyFill="1" applyBorder="1" applyAlignment="1">
      <alignment horizontal="center" vertical="center" wrapText="1"/>
    </xf>
    <xf numFmtId="4" fontId="37" fillId="0" borderId="7" xfId="0" applyNumberFormat="1" applyFont="1" applyFill="1" applyBorder="1" applyAlignment="1">
      <alignment horizontal="center" vertical="center" wrapText="1"/>
    </xf>
    <xf numFmtId="4" fontId="38" fillId="0" borderId="7" xfId="0" applyNumberFormat="1" applyFont="1" applyFill="1" applyBorder="1" applyAlignment="1">
      <alignment horizontal="center" wrapText="1"/>
    </xf>
    <xf numFmtId="164" fontId="27" fillId="0" borderId="7" xfId="0" applyNumberFormat="1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/>
    </xf>
    <xf numFmtId="3" fontId="26" fillId="0" borderId="9" xfId="0" applyNumberFormat="1" applyFont="1" applyFill="1" applyBorder="1" applyAlignment="1">
      <alignment horizontal="center" vertical="center" textRotation="180"/>
    </xf>
    <xf numFmtId="3" fontId="26" fillId="0" borderId="0" xfId="0" applyNumberFormat="1" applyFont="1" applyFill="1" applyBorder="1" applyAlignment="1">
      <alignment horizontal="center" vertical="center" textRotation="180"/>
    </xf>
    <xf numFmtId="49" fontId="36" fillId="0" borderId="0" xfId="0" applyNumberFormat="1" applyFont="1" applyFill="1" applyAlignment="1">
      <alignment horizontal="center"/>
    </xf>
    <xf numFmtId="3" fontId="35" fillId="0" borderId="0" xfId="0" applyNumberFormat="1" applyFont="1" applyFill="1" applyAlignment="1">
      <alignment horizontal="center" vertical="top" wrapText="1"/>
    </xf>
    <xf numFmtId="0" fontId="34" fillId="0" borderId="0" xfId="0" applyFont="1" applyFill="1" applyAlignment="1">
      <alignment horizontal="center" vertical="top"/>
    </xf>
    <xf numFmtId="49" fontId="23" fillId="0" borderId="7" xfId="0" applyNumberFormat="1" applyFont="1" applyFill="1" applyBorder="1" applyAlignment="1">
      <alignment horizontal="center" vertical="center" wrapText="1"/>
    </xf>
    <xf numFmtId="49" fontId="48" fillId="42" borderId="0" xfId="0" applyNumberFormat="1" applyFont="1" applyFill="1" applyBorder="1" applyAlignment="1" applyProtection="1">
      <alignment horizontal="left" vertical="center" wrapText="1"/>
    </xf>
    <xf numFmtId="49" fontId="48" fillId="42" borderId="0" xfId="0" applyNumberFormat="1" applyFont="1" applyFill="1" applyBorder="1" applyAlignment="1" applyProtection="1">
      <alignment horizontal="center" vertical="center" wrapText="1"/>
    </xf>
    <xf numFmtId="4" fontId="38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textRotation="180"/>
    </xf>
    <xf numFmtId="49" fontId="36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top" wrapText="1"/>
    </xf>
    <xf numFmtId="4" fontId="23" fillId="0" borderId="7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/>
    </xf>
    <xf numFmtId="3" fontId="27" fillId="0" borderId="7" xfId="0" applyNumberFormat="1" applyFont="1" applyFill="1" applyBorder="1" applyAlignment="1">
      <alignment horizontal="center" vertical="center" wrapText="1"/>
    </xf>
    <xf numFmtId="4" fontId="45" fillId="0" borderId="7" xfId="0" applyNumberFormat="1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 vertical="center" textRotation="180"/>
    </xf>
  </cellXfs>
  <cellStyles count="80">
    <cellStyle name="20% - Акцент1" xfId="1"/>
    <cellStyle name="20% — акцент1" xfId="61" builtinId="30" hidden="1"/>
    <cellStyle name="20% - Акцент2" xfId="2"/>
    <cellStyle name="20% — акцент2" xfId="64" builtinId="34" hidden="1"/>
    <cellStyle name="20% - Акцент3" xfId="3"/>
    <cellStyle name="20% — акцент3" xfId="67" builtinId="38" hidden="1"/>
    <cellStyle name="20% - Акцент4" xfId="4"/>
    <cellStyle name="20% — акцент4" xfId="70" builtinId="42" hidden="1"/>
    <cellStyle name="20% - Акцент5" xfId="5"/>
    <cellStyle name="20% — акцент5" xfId="73" builtinId="46" hidden="1"/>
    <cellStyle name="20% - Акцент6" xfId="6"/>
    <cellStyle name="20% — акцент6" xfId="76" builtinId="50" hidden="1"/>
    <cellStyle name="40% - Акцент1" xfId="7"/>
    <cellStyle name="40% — акцент1" xfId="62" builtinId="31" hidden="1"/>
    <cellStyle name="40% - Акцент2" xfId="8"/>
    <cellStyle name="40% — акцент2" xfId="65" builtinId="35" hidden="1"/>
    <cellStyle name="40% - Акцент3" xfId="9"/>
    <cellStyle name="40% — акцент3" xfId="68" builtinId="39" hidden="1"/>
    <cellStyle name="40% - Акцент4" xfId="10"/>
    <cellStyle name="40% — акцент4" xfId="71" builtinId="43" hidden="1"/>
    <cellStyle name="40% - Акцент5" xfId="11"/>
    <cellStyle name="40% — акцент5" xfId="74" builtinId="47" hidden="1"/>
    <cellStyle name="40% - Акцент6" xfId="12"/>
    <cellStyle name="40% — акцент6" xfId="77" builtinId="51" hidden="1"/>
    <cellStyle name="60% - Акцент1" xfId="13"/>
    <cellStyle name="60% — акцент1" xfId="63" builtinId="32" hidden="1"/>
    <cellStyle name="60% - Акцент2" xfId="14"/>
    <cellStyle name="60% — акцент2" xfId="66" builtinId="36" hidden="1"/>
    <cellStyle name="60% - Акцент3" xfId="15"/>
    <cellStyle name="60% — акцент3" xfId="69" builtinId="40" hidden="1"/>
    <cellStyle name="60% - Акцент4" xfId="16"/>
    <cellStyle name="60% — акцент4" xfId="72" builtinId="44" hidden="1"/>
    <cellStyle name="60% - Акцент5" xfId="17"/>
    <cellStyle name="60% — акцент5" xfId="75" builtinId="48" hidden="1"/>
    <cellStyle name="60% - Акцент6" xfId="18"/>
    <cellStyle name="60% — акцент6" xfId="78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вичайний 10" xfId="29"/>
    <cellStyle name="Звичайний 11" xfId="30"/>
    <cellStyle name="Звичайний 12" xfId="31"/>
    <cellStyle name="Звичайний 13" xfId="32"/>
    <cellStyle name="Звичайний 14" xfId="33"/>
    <cellStyle name="Звичайний 15" xfId="34"/>
    <cellStyle name="Звичайний 16" xfId="35"/>
    <cellStyle name="Звичайний 17" xfId="36"/>
    <cellStyle name="Звичайний 18" xfId="37"/>
    <cellStyle name="Звичайний 19" xfId="38"/>
    <cellStyle name="Звичайний 2" xfId="39"/>
    <cellStyle name="Звичайний 20" xfId="40"/>
    <cellStyle name="Звичайний 3" xfId="41"/>
    <cellStyle name="Звичайний 4" xfId="42"/>
    <cellStyle name="Звичайний 5" xfId="43"/>
    <cellStyle name="Звичайний 6" xfId="44"/>
    <cellStyle name="Звичайний 7" xfId="45"/>
    <cellStyle name="Звичайний 8" xfId="46"/>
    <cellStyle name="Звичайний 9" xfId="47"/>
    <cellStyle name="Звичайний_Додаток _ 3 зм_ни 4575" xfId="48"/>
    <cellStyle name="Итог" xfId="49"/>
    <cellStyle name="Контрольная ячейка" xfId="50"/>
    <cellStyle name="Название" xfId="51"/>
    <cellStyle name="Нейтральный" xfId="52"/>
    <cellStyle name="Обычный" xfId="0" builtinId="0"/>
    <cellStyle name="Обычный 2" xfId="53"/>
    <cellStyle name="Обычный 3" xfId="79"/>
    <cellStyle name="Плохой" xfId="54"/>
    <cellStyle name="Пояснение" xfId="55"/>
    <cellStyle name="Примечание" xfId="56"/>
    <cellStyle name="Связанная ячейка" xfId="57"/>
    <cellStyle name="Стиль 1" xfId="58"/>
    <cellStyle name="Текст предупреждения" xfId="59"/>
    <cellStyle name="Хороший" xfId="6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Q1528"/>
  <sheetViews>
    <sheetView showGridLines="0" showZeros="0" view="pageBreakPreview" topLeftCell="A203" zoomScale="60" zoomScaleNormal="82" workbookViewId="0">
      <selection activeCell="C214" sqref="C214"/>
    </sheetView>
  </sheetViews>
  <sheetFormatPr defaultColWidth="9.1640625" defaultRowHeight="15" x14ac:dyDescent="0.25"/>
  <cols>
    <col min="1" max="1" width="16.1640625" style="5" customWidth="1"/>
    <col min="2" max="2" width="15.33203125" style="6" customWidth="1"/>
    <col min="3" max="3" width="14.6640625" style="6" customWidth="1"/>
    <col min="4" max="4" width="62" style="7" customWidth="1"/>
    <col min="5" max="5" width="22.33203125" style="8" customWidth="1"/>
    <col min="6" max="6" width="22.5" style="8" hidden="1" customWidth="1"/>
    <col min="7" max="7" width="22.83203125" style="8" customWidth="1"/>
    <col min="8" max="8" width="22.5" style="8" customWidth="1"/>
    <col min="9" max="9" width="20" style="8" hidden="1" customWidth="1"/>
    <col min="10" max="12" width="20" style="8" customWidth="1"/>
    <col min="13" max="13" width="13.83203125" style="165" customWidth="1"/>
    <col min="14" max="14" width="22.33203125" style="8" customWidth="1"/>
    <col min="15" max="15" width="21.6640625" style="8" customWidth="1"/>
    <col min="16" max="16" width="21.1640625" style="8" customWidth="1"/>
    <col min="17" max="17" width="19.5" style="8" customWidth="1"/>
    <col min="18" max="18" width="17.1640625" style="8" customWidth="1"/>
    <col min="19" max="25" width="23.6640625" style="8" customWidth="1"/>
    <col min="26" max="26" width="15.83203125" style="165" customWidth="1"/>
    <col min="27" max="27" width="23.6640625" style="8" customWidth="1"/>
    <col min="28" max="28" width="27.83203125" style="16" hidden="1" customWidth="1"/>
    <col min="29" max="29" width="6.6640625" style="14" customWidth="1"/>
    <col min="30" max="30" width="21" style="9" customWidth="1"/>
    <col min="31" max="16384" width="9.1640625" style="9"/>
  </cols>
  <sheetData>
    <row r="1" spans="1:537" s="132" customFormat="1" ht="38.85" customHeight="1" x14ac:dyDescent="0.45">
      <c r="M1" s="154"/>
      <c r="V1" s="204" t="s">
        <v>502</v>
      </c>
      <c r="W1" s="204"/>
      <c r="X1" s="204"/>
      <c r="Y1" s="204"/>
      <c r="Z1" s="154"/>
    </row>
    <row r="2" spans="1:537" s="132" customFormat="1" ht="33" customHeight="1" x14ac:dyDescent="0.25">
      <c r="M2" s="154"/>
      <c r="V2" s="133" t="s">
        <v>503</v>
      </c>
      <c r="W2" s="133"/>
      <c r="X2" s="133"/>
      <c r="Y2" s="133"/>
      <c r="Z2" s="154"/>
    </row>
    <row r="3" spans="1:537" s="132" customFormat="1" ht="33" customHeight="1" x14ac:dyDescent="0.45">
      <c r="M3" s="154"/>
      <c r="V3" s="134" t="s">
        <v>504</v>
      </c>
      <c r="W3" s="134"/>
      <c r="X3" s="134"/>
      <c r="Y3" s="134"/>
      <c r="Z3" s="154"/>
    </row>
    <row r="4" spans="1:537" s="132" customFormat="1" ht="33" customHeight="1" x14ac:dyDescent="0.45">
      <c r="M4" s="154"/>
      <c r="V4" s="134" t="s">
        <v>505</v>
      </c>
      <c r="W4" s="134"/>
      <c r="X4" s="134"/>
      <c r="Y4" s="134"/>
      <c r="Z4" s="154"/>
    </row>
    <row r="5" spans="1:537" s="132" customFormat="1" ht="33" customHeight="1" x14ac:dyDescent="0.45">
      <c r="M5" s="154"/>
      <c r="V5" s="134" t="s">
        <v>507</v>
      </c>
      <c r="W5" s="134"/>
      <c r="X5" s="134"/>
      <c r="Y5" s="134"/>
      <c r="Z5" s="154"/>
    </row>
    <row r="6" spans="1:537" s="132" customFormat="1" ht="33" customHeight="1" x14ac:dyDescent="0.45">
      <c r="M6" s="154"/>
      <c r="V6" s="134" t="s">
        <v>506</v>
      </c>
      <c r="W6" s="134"/>
      <c r="X6" s="134"/>
      <c r="Y6" s="134"/>
      <c r="Z6" s="154"/>
    </row>
    <row r="7" spans="1:537" s="132" customFormat="1" ht="26.25" customHeight="1" x14ac:dyDescent="0.25">
      <c r="M7" s="154"/>
      <c r="Z7" s="154"/>
    </row>
    <row r="8" spans="1:537" s="132" customFormat="1" ht="26.25" customHeight="1" x14ac:dyDescent="0.25">
      <c r="M8" s="154"/>
      <c r="Z8" s="154"/>
    </row>
    <row r="9" spans="1:537" s="132" customFormat="1" ht="60" customHeight="1" x14ac:dyDescent="0.25">
      <c r="M9" s="154"/>
      <c r="Z9" s="154"/>
    </row>
    <row r="10" spans="1:537" s="10" customFormat="1" ht="71.25" customHeight="1" x14ac:dyDescent="0.3">
      <c r="A10" s="208" t="s">
        <v>501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69"/>
      <c r="AD10" s="28"/>
    </row>
    <row r="11" spans="1:537" s="10" customFormat="1" ht="23.25" customHeight="1" x14ac:dyDescent="0.35">
      <c r="A11" s="207" t="s">
        <v>357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69"/>
      <c r="AD11" s="28"/>
    </row>
    <row r="12" spans="1:537" s="10" customFormat="1" ht="19.5" customHeight="1" x14ac:dyDescent="0.3">
      <c r="A12" s="209" t="s">
        <v>322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69"/>
      <c r="AD12" s="28"/>
    </row>
    <row r="13" spans="1:537" s="10" customFormat="1" ht="19.5" customHeight="1" x14ac:dyDescent="0.3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55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55"/>
      <c r="AA13" s="131" t="s">
        <v>278</v>
      </c>
      <c r="AB13" s="129"/>
      <c r="AC13" s="69"/>
      <c r="AD13" s="28"/>
    </row>
    <row r="14" spans="1:537" s="11" customFormat="1" ht="22.5" customHeight="1" x14ac:dyDescent="0.3">
      <c r="A14" s="210" t="s">
        <v>261</v>
      </c>
      <c r="B14" s="198" t="s">
        <v>262</v>
      </c>
      <c r="C14" s="198" t="s">
        <v>253</v>
      </c>
      <c r="D14" s="198" t="s">
        <v>263</v>
      </c>
      <c r="E14" s="202" t="s">
        <v>183</v>
      </c>
      <c r="F14" s="202"/>
      <c r="G14" s="202"/>
      <c r="H14" s="202"/>
      <c r="I14" s="202"/>
      <c r="J14" s="202"/>
      <c r="K14" s="202"/>
      <c r="L14" s="202"/>
      <c r="M14" s="203" t="s">
        <v>522</v>
      </c>
      <c r="N14" s="199" t="s">
        <v>184</v>
      </c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203" t="s">
        <v>522</v>
      </c>
      <c r="AA14" s="200" t="s">
        <v>185</v>
      </c>
      <c r="AB14" s="187"/>
      <c r="AC14" s="69"/>
      <c r="AD14" s="30"/>
    </row>
    <row r="15" spans="1:537" s="17" customFormat="1" ht="39.75" customHeight="1" x14ac:dyDescent="0.2">
      <c r="A15" s="210"/>
      <c r="B15" s="198"/>
      <c r="C15" s="198"/>
      <c r="D15" s="198"/>
      <c r="E15" s="199" t="s">
        <v>498</v>
      </c>
      <c r="F15" s="199"/>
      <c r="G15" s="199"/>
      <c r="H15" s="199"/>
      <c r="I15" s="199"/>
      <c r="J15" s="199" t="s">
        <v>499</v>
      </c>
      <c r="K15" s="199"/>
      <c r="L15" s="199"/>
      <c r="M15" s="203"/>
      <c r="N15" s="199" t="s">
        <v>498</v>
      </c>
      <c r="O15" s="199"/>
      <c r="P15" s="199"/>
      <c r="Q15" s="199"/>
      <c r="R15" s="199"/>
      <c r="S15" s="199"/>
      <c r="T15" s="199" t="s">
        <v>499</v>
      </c>
      <c r="U15" s="199"/>
      <c r="V15" s="199"/>
      <c r="W15" s="199"/>
      <c r="X15" s="199"/>
      <c r="Y15" s="199"/>
      <c r="Z15" s="203"/>
      <c r="AA15" s="200"/>
      <c r="AB15" s="213"/>
      <c r="AC15" s="69"/>
      <c r="AD15" s="31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</row>
    <row r="16" spans="1:537" s="17" customFormat="1" ht="19.5" customHeight="1" x14ac:dyDescent="0.2">
      <c r="A16" s="210"/>
      <c r="B16" s="198"/>
      <c r="C16" s="198"/>
      <c r="D16" s="198"/>
      <c r="E16" s="200" t="s">
        <v>254</v>
      </c>
      <c r="F16" s="200" t="s">
        <v>186</v>
      </c>
      <c r="G16" s="201" t="s">
        <v>187</v>
      </c>
      <c r="H16" s="201"/>
      <c r="I16" s="200" t="s">
        <v>188</v>
      </c>
      <c r="J16" s="200" t="s">
        <v>254</v>
      </c>
      <c r="K16" s="201" t="s">
        <v>187</v>
      </c>
      <c r="L16" s="201"/>
      <c r="M16" s="203"/>
      <c r="N16" s="200" t="s">
        <v>254</v>
      </c>
      <c r="O16" s="200" t="s">
        <v>255</v>
      </c>
      <c r="P16" s="200" t="s">
        <v>186</v>
      </c>
      <c r="Q16" s="201" t="s">
        <v>187</v>
      </c>
      <c r="R16" s="201"/>
      <c r="S16" s="200" t="s">
        <v>188</v>
      </c>
      <c r="T16" s="200" t="s">
        <v>254</v>
      </c>
      <c r="U16" s="200" t="s">
        <v>255</v>
      </c>
      <c r="V16" s="200" t="s">
        <v>186</v>
      </c>
      <c r="W16" s="201" t="s">
        <v>187</v>
      </c>
      <c r="X16" s="201"/>
      <c r="Y16" s="200" t="s">
        <v>188</v>
      </c>
      <c r="Z16" s="203"/>
      <c r="AA16" s="200"/>
      <c r="AB16" s="213"/>
      <c r="AC16" s="69"/>
      <c r="AD16" s="31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</row>
    <row r="17" spans="1:537" s="17" customFormat="1" ht="87.75" customHeight="1" x14ac:dyDescent="0.2">
      <c r="A17" s="210"/>
      <c r="B17" s="198"/>
      <c r="C17" s="198"/>
      <c r="D17" s="198"/>
      <c r="E17" s="200"/>
      <c r="F17" s="200"/>
      <c r="G17" s="179" t="s">
        <v>189</v>
      </c>
      <c r="H17" s="179" t="s">
        <v>190</v>
      </c>
      <c r="I17" s="200"/>
      <c r="J17" s="200"/>
      <c r="K17" s="179" t="s">
        <v>189</v>
      </c>
      <c r="L17" s="179" t="s">
        <v>190</v>
      </c>
      <c r="M17" s="203"/>
      <c r="N17" s="200"/>
      <c r="O17" s="200"/>
      <c r="P17" s="200"/>
      <c r="Q17" s="179" t="s">
        <v>189</v>
      </c>
      <c r="R17" s="179" t="s">
        <v>190</v>
      </c>
      <c r="S17" s="200"/>
      <c r="T17" s="200"/>
      <c r="U17" s="200"/>
      <c r="V17" s="200"/>
      <c r="W17" s="179" t="s">
        <v>189</v>
      </c>
      <c r="X17" s="179" t="s">
        <v>190</v>
      </c>
      <c r="Y17" s="200"/>
      <c r="Z17" s="203"/>
      <c r="AA17" s="200"/>
      <c r="AB17" s="213"/>
      <c r="AC17" s="69"/>
      <c r="AD17" s="31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</row>
    <row r="18" spans="1:537" s="13" customFormat="1" ht="24" customHeight="1" x14ac:dyDescent="0.25">
      <c r="A18" s="188" t="s">
        <v>123</v>
      </c>
      <c r="B18" s="189"/>
      <c r="C18" s="189"/>
      <c r="D18" s="190" t="s">
        <v>29</v>
      </c>
      <c r="E18" s="191">
        <f t="shared" ref="E18:AB18" si="0">E19</f>
        <v>287742859</v>
      </c>
      <c r="F18" s="191">
        <f t="shared" si="0"/>
        <v>287742859</v>
      </c>
      <c r="G18" s="191">
        <f t="shared" si="0"/>
        <v>153851000</v>
      </c>
      <c r="H18" s="191">
        <f t="shared" si="0"/>
        <v>13081458</v>
      </c>
      <c r="I18" s="191">
        <f t="shared" si="0"/>
        <v>0</v>
      </c>
      <c r="J18" s="191">
        <f t="shared" si="0"/>
        <v>69104055.00999999</v>
      </c>
      <c r="K18" s="191">
        <f t="shared" si="0"/>
        <v>38673165.640000001</v>
      </c>
      <c r="L18" s="191">
        <f t="shared" si="0"/>
        <v>3895344.5999999996</v>
      </c>
      <c r="M18" s="192">
        <f>J18/E18*100</f>
        <v>24.015906163634799</v>
      </c>
      <c r="N18" s="191">
        <f t="shared" si="0"/>
        <v>8332060.5999999996</v>
      </c>
      <c r="O18" s="191">
        <f t="shared" si="0"/>
        <v>7526984</v>
      </c>
      <c r="P18" s="191">
        <f t="shared" si="0"/>
        <v>710900</v>
      </c>
      <c r="Q18" s="191">
        <f t="shared" si="0"/>
        <v>354800</v>
      </c>
      <c r="R18" s="191">
        <f t="shared" si="0"/>
        <v>53748</v>
      </c>
      <c r="S18" s="191">
        <f t="shared" si="0"/>
        <v>7621160.5999999996</v>
      </c>
      <c r="T18" s="191">
        <f t="shared" si="0"/>
        <v>16592324.74</v>
      </c>
      <c r="U18" s="191">
        <f t="shared" si="0"/>
        <v>6440000</v>
      </c>
      <c r="V18" s="191">
        <f t="shared" si="0"/>
        <v>10109971.01</v>
      </c>
      <c r="W18" s="191">
        <f t="shared" si="0"/>
        <v>40983.599999999999</v>
      </c>
      <c r="X18" s="191">
        <f t="shared" si="0"/>
        <v>8730.4</v>
      </c>
      <c r="Y18" s="191">
        <f t="shared" si="0"/>
        <v>6482353.7300000004</v>
      </c>
      <c r="Z18" s="192" t="s">
        <v>515</v>
      </c>
      <c r="AA18" s="191">
        <f t="shared" si="0"/>
        <v>85696379.750000015</v>
      </c>
      <c r="AB18" s="34">
        <f t="shared" si="0"/>
        <v>296074919.60000002</v>
      </c>
      <c r="AC18" s="69"/>
      <c r="AD18" s="35"/>
    </row>
    <row r="19" spans="1:537" s="3" customFormat="1" ht="31.5" customHeight="1" x14ac:dyDescent="0.25">
      <c r="A19" s="36" t="s">
        <v>124</v>
      </c>
      <c r="B19" s="37"/>
      <c r="C19" s="37"/>
      <c r="D19" s="38" t="s">
        <v>494</v>
      </c>
      <c r="E19" s="39">
        <f>E21+E22+E23+E24+E25+E27+E28+E29+E30+E31+E32+E33+E34+E36+E37+E38+E39+E40+E42+E44+E45+E26+E43+E35</f>
        <v>287742859</v>
      </c>
      <c r="F19" s="39">
        <f t="shared" ref="F19:AA19" si="1">F21+F22+F23+F24+F25+F27+F28+F29+F30+F31+F32+F33+F34+F36+F37+F38+F39+F40+F42+F44+F45+F26+F43+F35</f>
        <v>287742859</v>
      </c>
      <c r="G19" s="39">
        <f t="shared" si="1"/>
        <v>153851000</v>
      </c>
      <c r="H19" s="39">
        <f t="shared" si="1"/>
        <v>13081458</v>
      </c>
      <c r="I19" s="39">
        <f t="shared" si="1"/>
        <v>0</v>
      </c>
      <c r="J19" s="39">
        <f t="shared" si="1"/>
        <v>69104055.00999999</v>
      </c>
      <c r="K19" s="39">
        <f t="shared" si="1"/>
        <v>38673165.640000001</v>
      </c>
      <c r="L19" s="39">
        <f t="shared" si="1"/>
        <v>3895344.5999999996</v>
      </c>
      <c r="M19" s="157">
        <f t="shared" ref="M19:M82" si="2">J19/E19*100</f>
        <v>24.015906163634799</v>
      </c>
      <c r="N19" s="39">
        <f t="shared" si="1"/>
        <v>8332060.5999999996</v>
      </c>
      <c r="O19" s="39">
        <f t="shared" si="1"/>
        <v>7526984</v>
      </c>
      <c r="P19" s="39">
        <f t="shared" si="1"/>
        <v>710900</v>
      </c>
      <c r="Q19" s="39">
        <f t="shared" si="1"/>
        <v>354800</v>
      </c>
      <c r="R19" s="39">
        <f t="shared" si="1"/>
        <v>53748</v>
      </c>
      <c r="S19" s="39">
        <f t="shared" si="1"/>
        <v>7621160.5999999996</v>
      </c>
      <c r="T19" s="39">
        <f t="shared" si="1"/>
        <v>16592324.74</v>
      </c>
      <c r="U19" s="39">
        <f t="shared" si="1"/>
        <v>6440000</v>
      </c>
      <c r="V19" s="39">
        <f t="shared" si="1"/>
        <v>10109971.01</v>
      </c>
      <c r="W19" s="39">
        <f t="shared" si="1"/>
        <v>40983.599999999999</v>
      </c>
      <c r="X19" s="39">
        <f t="shared" si="1"/>
        <v>8730.4</v>
      </c>
      <c r="Y19" s="39">
        <f t="shared" si="1"/>
        <v>6482353.7300000004</v>
      </c>
      <c r="Z19" s="157" t="s">
        <v>515</v>
      </c>
      <c r="AA19" s="39">
        <f t="shared" si="1"/>
        <v>85696379.750000015</v>
      </c>
      <c r="AB19" s="39">
        <f t="shared" ref="AB19" si="3">AB21+AB22+AB23+AB24+AB25+AB27+AB28+AB29+AB30+AB31+AB32+AB33+AB34+AB36+AB37+AB38+AB39+AB40+AB42+AB44+AB45+AB26+AB43+AB35</f>
        <v>296074919.60000002</v>
      </c>
      <c r="AC19" s="69"/>
      <c r="AD19" s="40"/>
    </row>
    <row r="20" spans="1:537" s="20" customFormat="1" ht="51.6" customHeight="1" x14ac:dyDescent="0.25">
      <c r="A20" s="36"/>
      <c r="B20" s="37"/>
      <c r="C20" s="37"/>
      <c r="D20" s="38" t="str">
        <f>D41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20" s="39">
        <f>E41</f>
        <v>514900</v>
      </c>
      <c r="F20" s="39">
        <f t="shared" ref="F20:AA20" si="4">F41</f>
        <v>514900</v>
      </c>
      <c r="G20" s="39">
        <f t="shared" si="4"/>
        <v>422100</v>
      </c>
      <c r="H20" s="39">
        <f t="shared" si="4"/>
        <v>0</v>
      </c>
      <c r="I20" s="39">
        <f t="shared" si="4"/>
        <v>0</v>
      </c>
      <c r="J20" s="39">
        <f t="shared" si="4"/>
        <v>65150</v>
      </c>
      <c r="K20" s="39">
        <f t="shared" si="4"/>
        <v>53400</v>
      </c>
      <c r="L20" s="39">
        <f t="shared" si="4"/>
        <v>0</v>
      </c>
      <c r="M20" s="157">
        <f t="shared" si="2"/>
        <v>12.652942318896873</v>
      </c>
      <c r="N20" s="39">
        <f t="shared" si="4"/>
        <v>0</v>
      </c>
      <c r="O20" s="39">
        <f t="shared" si="4"/>
        <v>0</v>
      </c>
      <c r="P20" s="39">
        <f t="shared" si="4"/>
        <v>0</v>
      </c>
      <c r="Q20" s="39">
        <f t="shared" si="4"/>
        <v>0</v>
      </c>
      <c r="R20" s="39">
        <f t="shared" si="4"/>
        <v>0</v>
      </c>
      <c r="S20" s="39">
        <f t="shared" si="4"/>
        <v>0</v>
      </c>
      <c r="T20" s="39">
        <f t="shared" si="4"/>
        <v>0</v>
      </c>
      <c r="U20" s="39">
        <f t="shared" si="4"/>
        <v>0</v>
      </c>
      <c r="V20" s="39">
        <f t="shared" si="4"/>
        <v>0</v>
      </c>
      <c r="W20" s="39">
        <f t="shared" si="4"/>
        <v>0</v>
      </c>
      <c r="X20" s="39">
        <f t="shared" si="4"/>
        <v>0</v>
      </c>
      <c r="Y20" s="39">
        <f t="shared" si="4"/>
        <v>0</v>
      </c>
      <c r="Z20" s="157"/>
      <c r="AA20" s="39">
        <f t="shared" si="4"/>
        <v>65150</v>
      </c>
      <c r="AB20" s="39">
        <f t="shared" ref="AB20" si="5">AB41</f>
        <v>514900</v>
      </c>
      <c r="AC20" s="69"/>
      <c r="AD20" s="40"/>
    </row>
    <row r="21" spans="1:537" s="1" customFormat="1" ht="45.75" customHeight="1" x14ac:dyDescent="0.25">
      <c r="A21" s="41" t="s">
        <v>125</v>
      </c>
      <c r="B21" s="42" t="str">
        <f>'дод 5'!A18</f>
        <v>0160</v>
      </c>
      <c r="C21" s="42" t="str">
        <f>'дод 5'!B18</f>
        <v>0111</v>
      </c>
      <c r="D21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1" s="44">
        <f>F21+I21</f>
        <v>162707900</v>
      </c>
      <c r="F21" s="44">
        <f>161921900+786000</f>
        <v>162707900</v>
      </c>
      <c r="G21" s="44">
        <f>120577600+644200</f>
        <v>121221800</v>
      </c>
      <c r="H21" s="44">
        <v>5902100</v>
      </c>
      <c r="I21" s="44"/>
      <c r="J21" s="44">
        <v>40990134.390000001</v>
      </c>
      <c r="K21" s="44">
        <v>31183620.32</v>
      </c>
      <c r="L21" s="44">
        <v>1560711.04</v>
      </c>
      <c r="M21" s="158">
        <f t="shared" si="2"/>
        <v>25.192467231154726</v>
      </c>
      <c r="N21" s="44">
        <f>P21+S21</f>
        <v>0</v>
      </c>
      <c r="O21" s="44"/>
      <c r="P21" s="44"/>
      <c r="Q21" s="44"/>
      <c r="R21" s="44"/>
      <c r="S21" s="44"/>
      <c r="T21" s="44">
        <f t="shared" ref="T21:T82" si="6">V21+Y21</f>
        <v>9965841.9399999995</v>
      </c>
      <c r="U21" s="44"/>
      <c r="V21" s="44">
        <v>9965841.9399999995</v>
      </c>
      <c r="W21" s="44"/>
      <c r="X21" s="44"/>
      <c r="Y21" s="44"/>
      <c r="Z21" s="158"/>
      <c r="AA21" s="44">
        <f t="shared" ref="AA21:AA82" si="7">T21+J21</f>
        <v>50955976.329999998</v>
      </c>
      <c r="AB21" s="44">
        <f>E21+N21</f>
        <v>162707900</v>
      </c>
      <c r="AC21" s="69"/>
      <c r="AD21" s="45"/>
    </row>
    <row r="22" spans="1:537" s="1" customFormat="1" ht="27.75" customHeight="1" x14ac:dyDescent="0.25">
      <c r="A22" s="41" t="s">
        <v>199</v>
      </c>
      <c r="B22" s="42" t="str">
        <f>'дод 5'!A19</f>
        <v>0180</v>
      </c>
      <c r="C22" s="42" t="str">
        <f>'дод 5'!B19</f>
        <v>0133</v>
      </c>
      <c r="D22" s="43" t="str">
        <f>'дод 5'!C19</f>
        <v>Інша діяльність у сфері державного управління</v>
      </c>
      <c r="E22" s="44">
        <f t="shared" ref="E22:E44" si="8">F22+I22</f>
        <v>3200000</v>
      </c>
      <c r="F22" s="44">
        <f>3100000+100000</f>
        <v>3200000</v>
      </c>
      <c r="G22" s="44"/>
      <c r="H22" s="44"/>
      <c r="I22" s="44"/>
      <c r="J22" s="44">
        <v>383993.54</v>
      </c>
      <c r="K22" s="44"/>
      <c r="L22" s="44"/>
      <c r="M22" s="158">
        <f t="shared" si="2"/>
        <v>11.999798125</v>
      </c>
      <c r="N22" s="44">
        <f t="shared" ref="N22" si="9">P22+S22</f>
        <v>0</v>
      </c>
      <c r="O22" s="44"/>
      <c r="P22" s="44"/>
      <c r="Q22" s="44"/>
      <c r="R22" s="44"/>
      <c r="S22" s="44"/>
      <c r="T22" s="44">
        <f t="shared" si="6"/>
        <v>0</v>
      </c>
      <c r="U22" s="44"/>
      <c r="V22" s="44"/>
      <c r="W22" s="44"/>
      <c r="X22" s="44"/>
      <c r="Y22" s="44"/>
      <c r="Z22" s="158"/>
      <c r="AA22" s="44">
        <f t="shared" si="7"/>
        <v>383993.54</v>
      </c>
      <c r="AB22" s="44">
        <f t="shared" ref="AB22:AB45" si="10">E22+N22</f>
        <v>3200000</v>
      </c>
      <c r="AC22" s="69"/>
      <c r="AD22" s="45"/>
    </row>
    <row r="23" spans="1:537" s="1" customFormat="1" ht="47.25" customHeight="1" x14ac:dyDescent="0.25">
      <c r="A23" s="41" t="s">
        <v>211</v>
      </c>
      <c r="B23" s="42" t="str">
        <f>'дод 5'!A91</f>
        <v>3033</v>
      </c>
      <c r="C23" s="42" t="str">
        <f>'дод 5'!B91</f>
        <v>1070</v>
      </c>
      <c r="D23" s="43" t="s">
        <v>286</v>
      </c>
      <c r="E23" s="44">
        <f t="shared" si="8"/>
        <v>555700</v>
      </c>
      <c r="F23" s="44">
        <v>555700</v>
      </c>
      <c r="G23" s="44"/>
      <c r="H23" s="44"/>
      <c r="I23" s="44"/>
      <c r="J23" s="44">
        <v>92608</v>
      </c>
      <c r="K23" s="44"/>
      <c r="L23" s="44"/>
      <c r="M23" s="158">
        <f t="shared" si="2"/>
        <v>16.665107072161238</v>
      </c>
      <c r="N23" s="44">
        <f t="shared" ref="N23:N45" si="11">P23+S23</f>
        <v>0</v>
      </c>
      <c r="O23" s="44"/>
      <c r="P23" s="44"/>
      <c r="Q23" s="44"/>
      <c r="R23" s="44"/>
      <c r="S23" s="44"/>
      <c r="T23" s="44">
        <f t="shared" si="6"/>
        <v>0</v>
      </c>
      <c r="U23" s="44"/>
      <c r="V23" s="44"/>
      <c r="W23" s="44"/>
      <c r="X23" s="44"/>
      <c r="Y23" s="44"/>
      <c r="Z23" s="158"/>
      <c r="AA23" s="44">
        <f t="shared" si="7"/>
        <v>92608</v>
      </c>
      <c r="AB23" s="44">
        <f t="shared" si="10"/>
        <v>555700</v>
      </c>
      <c r="AC23" s="69"/>
      <c r="AD23" s="45"/>
    </row>
    <row r="24" spans="1:537" s="1" customFormat="1" ht="31.5" customHeight="1" x14ac:dyDescent="0.25">
      <c r="A24" s="41" t="s">
        <v>126</v>
      </c>
      <c r="B24" s="42" t="str">
        <f>'дод 5'!A93</f>
        <v>3036</v>
      </c>
      <c r="C24" s="42" t="str">
        <f>'дод 5'!B93</f>
        <v>1070</v>
      </c>
      <c r="D24" s="43" t="str">
        <f>'дод 5'!C93</f>
        <v>Компенсаційні виплати на пільговий проїзд електротранспортом окремим категоріям громадян</v>
      </c>
      <c r="E24" s="44">
        <f t="shared" si="8"/>
        <v>967900</v>
      </c>
      <c r="F24" s="44">
        <v>967900</v>
      </c>
      <c r="G24" s="44"/>
      <c r="H24" s="44"/>
      <c r="I24" s="44"/>
      <c r="J24" s="44">
        <v>160512</v>
      </c>
      <c r="K24" s="44"/>
      <c r="L24" s="44"/>
      <c r="M24" s="158">
        <f t="shared" si="2"/>
        <v>16.583531356545098</v>
      </c>
      <c r="N24" s="44">
        <f t="shared" si="11"/>
        <v>0</v>
      </c>
      <c r="O24" s="44"/>
      <c r="P24" s="44"/>
      <c r="Q24" s="44"/>
      <c r="R24" s="44"/>
      <c r="S24" s="44"/>
      <c r="T24" s="44">
        <f t="shared" si="6"/>
        <v>0</v>
      </c>
      <c r="U24" s="44"/>
      <c r="V24" s="44"/>
      <c r="W24" s="44"/>
      <c r="X24" s="44"/>
      <c r="Y24" s="44"/>
      <c r="Z24" s="158"/>
      <c r="AA24" s="44">
        <f t="shared" si="7"/>
        <v>160512</v>
      </c>
      <c r="AB24" s="44">
        <f t="shared" si="10"/>
        <v>967900</v>
      </c>
      <c r="AC24" s="69"/>
      <c r="AD24" s="45"/>
    </row>
    <row r="25" spans="1:537" s="18" customFormat="1" ht="42" customHeight="1" x14ac:dyDescent="0.25">
      <c r="A25" s="41" t="s">
        <v>127</v>
      </c>
      <c r="B25" s="42" t="str">
        <f>'дод 5'!A103</f>
        <v>3131</v>
      </c>
      <c r="C25" s="42" t="str">
        <f>'дод 5'!B103</f>
        <v>1040</v>
      </c>
      <c r="D25" s="43" t="str">
        <f>'дод 5'!C103</f>
        <v>Здійснення заходів та реалізація проектів на виконання Державної цільової соціальної програми "Молодь України"</v>
      </c>
      <c r="E25" s="44">
        <f t="shared" si="8"/>
        <v>410000</v>
      </c>
      <c r="F25" s="44">
        <f>500000-90000</f>
        <v>410000</v>
      </c>
      <c r="G25" s="44"/>
      <c r="H25" s="44"/>
      <c r="I25" s="44"/>
      <c r="J25" s="44">
        <v>4500</v>
      </c>
      <c r="K25" s="44"/>
      <c r="L25" s="44"/>
      <c r="M25" s="158">
        <f t="shared" si="2"/>
        <v>1.097560975609756</v>
      </c>
      <c r="N25" s="44">
        <f t="shared" si="11"/>
        <v>0</v>
      </c>
      <c r="O25" s="44"/>
      <c r="P25" s="44"/>
      <c r="Q25" s="44"/>
      <c r="R25" s="44"/>
      <c r="S25" s="44"/>
      <c r="T25" s="44">
        <f t="shared" si="6"/>
        <v>0</v>
      </c>
      <c r="U25" s="44"/>
      <c r="V25" s="44"/>
      <c r="W25" s="44"/>
      <c r="X25" s="44"/>
      <c r="Y25" s="44"/>
      <c r="Z25" s="158"/>
      <c r="AA25" s="44">
        <f t="shared" si="7"/>
        <v>4500</v>
      </c>
      <c r="AB25" s="44">
        <f t="shared" si="10"/>
        <v>410000</v>
      </c>
      <c r="AC25" s="69"/>
      <c r="AD25" s="45"/>
    </row>
    <row r="26" spans="1:537" s="18" customFormat="1" ht="45.75" customHeight="1" x14ac:dyDescent="0.25">
      <c r="A26" s="41" t="s">
        <v>325</v>
      </c>
      <c r="B26" s="42">
        <f>'дод 5'!A104</f>
        <v>3133</v>
      </c>
      <c r="C26" s="42">
        <f>'дод 5'!B104</f>
        <v>1040</v>
      </c>
      <c r="D26" s="46" t="str">
        <f>'дод 5'!C104</f>
        <v>Забезпечення молодіжними центрами соціального
становлення та розвитку молоді та інші заходи у
сфері молодіжної політики</v>
      </c>
      <c r="E26" s="44">
        <f t="shared" si="8"/>
        <v>5841416</v>
      </c>
      <c r="F26" s="44">
        <f>5668400+83016+90000</f>
        <v>5841416</v>
      </c>
      <c r="G26" s="44">
        <v>3357400</v>
      </c>
      <c r="H26" s="44">
        <v>778500</v>
      </c>
      <c r="I26" s="44"/>
      <c r="J26" s="44">
        <v>1362136.04</v>
      </c>
      <c r="K26" s="44">
        <v>822722.89</v>
      </c>
      <c r="L26" s="44">
        <v>261832.78</v>
      </c>
      <c r="M26" s="158">
        <f t="shared" si="2"/>
        <v>23.318593299980691</v>
      </c>
      <c r="N26" s="44">
        <f t="shared" si="11"/>
        <v>126984</v>
      </c>
      <c r="O26" s="44">
        <v>116984</v>
      </c>
      <c r="P26" s="44">
        <v>10000</v>
      </c>
      <c r="Q26" s="44">
        <v>2000</v>
      </c>
      <c r="R26" s="44">
        <v>3810</v>
      </c>
      <c r="S26" s="44">
        <v>116984</v>
      </c>
      <c r="T26" s="44">
        <f t="shared" si="6"/>
        <v>0</v>
      </c>
      <c r="U26" s="44"/>
      <c r="V26" s="44"/>
      <c r="W26" s="44"/>
      <c r="X26" s="44"/>
      <c r="Y26" s="44"/>
      <c r="Z26" s="158">
        <f t="shared" ref="Z26:Z73" si="12">T26/N26*100</f>
        <v>0</v>
      </c>
      <c r="AA26" s="44">
        <f t="shared" si="7"/>
        <v>1362136.04</v>
      </c>
      <c r="AB26" s="44">
        <f t="shared" si="10"/>
        <v>5968400</v>
      </c>
      <c r="AC26" s="69"/>
      <c r="AD26" s="45"/>
    </row>
    <row r="27" spans="1:537" s="1" customFormat="1" ht="33.75" customHeight="1" x14ac:dyDescent="0.25">
      <c r="A27" s="41" t="s">
        <v>238</v>
      </c>
      <c r="B27" s="42" t="str">
        <f>'дод 5'!A117</f>
        <v>3242</v>
      </c>
      <c r="C27" s="42" t="str">
        <f>'дод 5'!B117</f>
        <v>1090</v>
      </c>
      <c r="D27" s="43" t="s">
        <v>287</v>
      </c>
      <c r="E27" s="44">
        <f t="shared" si="8"/>
        <v>159400</v>
      </c>
      <c r="F27" s="44">
        <v>159400</v>
      </c>
      <c r="G27" s="44"/>
      <c r="H27" s="44"/>
      <c r="I27" s="44"/>
      <c r="J27" s="44">
        <v>27252</v>
      </c>
      <c r="K27" s="44"/>
      <c r="L27" s="44"/>
      <c r="M27" s="158">
        <f t="shared" si="2"/>
        <v>17.096612296110415</v>
      </c>
      <c r="N27" s="44">
        <f t="shared" si="11"/>
        <v>0</v>
      </c>
      <c r="O27" s="44"/>
      <c r="P27" s="44"/>
      <c r="Q27" s="44"/>
      <c r="R27" s="44"/>
      <c r="S27" s="44"/>
      <c r="T27" s="44">
        <f t="shared" si="6"/>
        <v>0</v>
      </c>
      <c r="U27" s="44"/>
      <c r="V27" s="44"/>
      <c r="W27" s="44"/>
      <c r="X27" s="44"/>
      <c r="Y27" s="44"/>
      <c r="Z27" s="158"/>
      <c r="AA27" s="44">
        <f t="shared" si="7"/>
        <v>27252</v>
      </c>
      <c r="AB27" s="44">
        <f t="shared" si="10"/>
        <v>159400</v>
      </c>
      <c r="AC27" s="69"/>
      <c r="AD27" s="45"/>
    </row>
    <row r="28" spans="1:537" s="18" customFormat="1" ht="30.75" customHeight="1" x14ac:dyDescent="0.25">
      <c r="A28" s="41" t="s">
        <v>237</v>
      </c>
      <c r="B28" s="42" t="str">
        <f>'дод 5'!A124</f>
        <v>4081</v>
      </c>
      <c r="C28" s="42" t="str">
        <f>'дод 5'!B124</f>
        <v>0829</v>
      </c>
      <c r="D28" s="46" t="str">
        <f>'дод 5'!C124</f>
        <v>Забезпечення діяльності інших закладів в галузі культури і мистецтва</v>
      </c>
      <c r="E28" s="44">
        <f t="shared" si="8"/>
        <v>3015300</v>
      </c>
      <c r="F28" s="44">
        <v>3015300</v>
      </c>
      <c r="G28" s="44">
        <v>2003800</v>
      </c>
      <c r="H28" s="44">
        <f>229600+58</f>
        <v>229658</v>
      </c>
      <c r="I28" s="44"/>
      <c r="J28" s="44">
        <v>655933.85</v>
      </c>
      <c r="K28" s="44">
        <v>466189.53</v>
      </c>
      <c r="L28" s="44">
        <v>81782.899999999994</v>
      </c>
      <c r="M28" s="158">
        <f t="shared" si="2"/>
        <v>21.753518721188602</v>
      </c>
      <c r="N28" s="44">
        <f t="shared" si="11"/>
        <v>0</v>
      </c>
      <c r="O28" s="44"/>
      <c r="P28" s="44"/>
      <c r="Q28" s="44"/>
      <c r="R28" s="44"/>
      <c r="S28" s="44"/>
      <c r="T28" s="44">
        <f t="shared" si="6"/>
        <v>0</v>
      </c>
      <c r="U28" s="44"/>
      <c r="V28" s="44"/>
      <c r="W28" s="44"/>
      <c r="X28" s="44"/>
      <c r="Y28" s="44"/>
      <c r="Z28" s="158"/>
      <c r="AA28" s="44">
        <f t="shared" si="7"/>
        <v>655933.85</v>
      </c>
      <c r="AB28" s="44">
        <f t="shared" si="10"/>
        <v>3015300</v>
      </c>
      <c r="AC28" s="69"/>
      <c r="AD28" s="45"/>
    </row>
    <row r="29" spans="1:537" s="1" customFormat="1" ht="36.75" customHeight="1" x14ac:dyDescent="0.25">
      <c r="A29" s="41" t="s">
        <v>128</v>
      </c>
      <c r="B29" s="42" t="str">
        <f>'дод 5'!A127</f>
        <v>5011</v>
      </c>
      <c r="C29" s="42" t="str">
        <f>'дод 5'!B127</f>
        <v>0810</v>
      </c>
      <c r="D29" s="43" t="str">
        <f>'дод 5'!C127</f>
        <v>Проведення навчально-тренувальних зборів і змагань з олімпійських видів спорту</v>
      </c>
      <c r="E29" s="44">
        <f t="shared" si="8"/>
        <v>1150000</v>
      </c>
      <c r="F29" s="44">
        <f>400000+750000</f>
        <v>1150000</v>
      </c>
      <c r="G29" s="44"/>
      <c r="H29" s="44"/>
      <c r="I29" s="44"/>
      <c r="J29" s="44">
        <v>116948.6</v>
      </c>
      <c r="K29" s="44"/>
      <c r="L29" s="44"/>
      <c r="M29" s="158">
        <f t="shared" si="2"/>
        <v>10.16944347826087</v>
      </c>
      <c r="N29" s="44">
        <f>P29+S29</f>
        <v>0</v>
      </c>
      <c r="O29" s="44"/>
      <c r="P29" s="44"/>
      <c r="Q29" s="44"/>
      <c r="R29" s="44"/>
      <c r="S29" s="44"/>
      <c r="T29" s="44">
        <f t="shared" si="6"/>
        <v>0</v>
      </c>
      <c r="U29" s="44"/>
      <c r="V29" s="44"/>
      <c r="W29" s="44"/>
      <c r="X29" s="44"/>
      <c r="Y29" s="44"/>
      <c r="Z29" s="158"/>
      <c r="AA29" s="44">
        <f t="shared" si="7"/>
        <v>116948.6</v>
      </c>
      <c r="AB29" s="44">
        <f t="shared" si="10"/>
        <v>1150000</v>
      </c>
      <c r="AC29" s="69"/>
      <c r="AD29" s="45"/>
    </row>
    <row r="30" spans="1:537" s="1" customFormat="1" ht="34.5" customHeight="1" x14ac:dyDescent="0.25">
      <c r="A30" s="41" t="s">
        <v>129</v>
      </c>
      <c r="B30" s="42" t="str">
        <f>'дод 5'!A128</f>
        <v>5012</v>
      </c>
      <c r="C30" s="42" t="str">
        <f>'дод 5'!B128</f>
        <v>0810</v>
      </c>
      <c r="D30" s="43" t="str">
        <f>'дод 5'!C128</f>
        <v>Проведення навчально-тренувальних зборів і змагань з неолімпійських видів спорту</v>
      </c>
      <c r="E30" s="44">
        <f t="shared" si="8"/>
        <v>1150000</v>
      </c>
      <c r="F30" s="44">
        <f>400000+750000</f>
        <v>1150000</v>
      </c>
      <c r="G30" s="44"/>
      <c r="H30" s="44"/>
      <c r="I30" s="44"/>
      <c r="J30" s="44">
        <v>88468.56</v>
      </c>
      <c r="K30" s="44"/>
      <c r="L30" s="44"/>
      <c r="M30" s="158">
        <f t="shared" si="2"/>
        <v>7.6929182608695648</v>
      </c>
      <c r="N30" s="44">
        <f t="shared" si="11"/>
        <v>0</v>
      </c>
      <c r="O30" s="44"/>
      <c r="P30" s="44"/>
      <c r="Q30" s="44"/>
      <c r="R30" s="44"/>
      <c r="S30" s="44"/>
      <c r="T30" s="44">
        <f t="shared" si="6"/>
        <v>0</v>
      </c>
      <c r="U30" s="44"/>
      <c r="V30" s="44"/>
      <c r="W30" s="44"/>
      <c r="X30" s="44"/>
      <c r="Y30" s="44"/>
      <c r="Z30" s="158"/>
      <c r="AA30" s="44">
        <f t="shared" si="7"/>
        <v>88468.56</v>
      </c>
      <c r="AB30" s="44">
        <f t="shared" si="10"/>
        <v>1150000</v>
      </c>
      <c r="AC30" s="69"/>
      <c r="AD30" s="45"/>
    </row>
    <row r="31" spans="1:537" s="1" customFormat="1" ht="47.25" x14ac:dyDescent="0.25">
      <c r="A31" s="41" t="s">
        <v>130</v>
      </c>
      <c r="B31" s="42" t="str">
        <f>'дод 5'!A129</f>
        <v>5031</v>
      </c>
      <c r="C31" s="42" t="str">
        <f>'дод 5'!B129</f>
        <v>0810</v>
      </c>
      <c r="D31" s="43" t="str">
        <f>'дод 5'!C129</f>
        <v>Розвиток здібностей у дітей та молоді з фізичної
культури та спорту комунальними дитячо-юнацькими спортивними школами</v>
      </c>
      <c r="E31" s="44">
        <f t="shared" si="8"/>
        <v>27885000</v>
      </c>
      <c r="F31" s="44">
        <f>26685000-300000+1500000</f>
        <v>27885000</v>
      </c>
      <c r="G31" s="44">
        <v>19283000</v>
      </c>
      <c r="H31" s="44">
        <v>1932800</v>
      </c>
      <c r="I31" s="44"/>
      <c r="J31" s="44">
        <v>6272254.6799999997</v>
      </c>
      <c r="K31" s="44">
        <v>4442472.8899999997</v>
      </c>
      <c r="L31" s="44">
        <v>548432.96</v>
      </c>
      <c r="M31" s="158">
        <f t="shared" si="2"/>
        <v>22.493292738031197</v>
      </c>
      <c r="N31" s="44">
        <f t="shared" si="11"/>
        <v>0</v>
      </c>
      <c r="O31" s="44"/>
      <c r="P31" s="44"/>
      <c r="Q31" s="44"/>
      <c r="R31" s="44"/>
      <c r="S31" s="44"/>
      <c r="T31" s="44">
        <f t="shared" si="6"/>
        <v>0</v>
      </c>
      <c r="U31" s="44"/>
      <c r="V31" s="44"/>
      <c r="W31" s="44"/>
      <c r="X31" s="44"/>
      <c r="Y31" s="44"/>
      <c r="Z31" s="158"/>
      <c r="AA31" s="44">
        <f t="shared" si="7"/>
        <v>6272254.6799999997</v>
      </c>
      <c r="AB31" s="44">
        <f t="shared" si="10"/>
        <v>27885000</v>
      </c>
      <c r="AC31" s="69"/>
      <c r="AD31" s="45"/>
    </row>
    <row r="32" spans="1:537" s="1" customFormat="1" ht="43.5" customHeight="1" x14ac:dyDescent="0.25">
      <c r="A32" s="41" t="s">
        <v>277</v>
      </c>
      <c r="B32" s="42" t="str">
        <f>'дод 5'!A130</f>
        <v>5032</v>
      </c>
      <c r="C32" s="42" t="str">
        <f>'дод 5'!B130</f>
        <v>0810</v>
      </c>
      <c r="D32" s="43" t="str">
        <f>'дод 5'!C130</f>
        <v>Фінансова підтримка дитячо-юнацьких спортивних шкіл фізкультурно-спортивних товариств</v>
      </c>
      <c r="E32" s="44">
        <f t="shared" si="8"/>
        <v>20518600</v>
      </c>
      <c r="F32" s="44">
        <f>20218600+300000</f>
        <v>20518600</v>
      </c>
      <c r="G32" s="44"/>
      <c r="H32" s="44"/>
      <c r="I32" s="44"/>
      <c r="J32" s="44">
        <v>4674354.5</v>
      </c>
      <c r="K32" s="44"/>
      <c r="L32" s="44"/>
      <c r="M32" s="158">
        <f t="shared" si="2"/>
        <v>22.781059623950952</v>
      </c>
      <c r="N32" s="44">
        <f t="shared" si="11"/>
        <v>0</v>
      </c>
      <c r="O32" s="44"/>
      <c r="P32" s="44"/>
      <c r="Q32" s="44"/>
      <c r="R32" s="44"/>
      <c r="S32" s="44"/>
      <c r="T32" s="44">
        <f t="shared" si="6"/>
        <v>0</v>
      </c>
      <c r="U32" s="44"/>
      <c r="V32" s="44"/>
      <c r="W32" s="44"/>
      <c r="X32" s="44"/>
      <c r="Y32" s="44"/>
      <c r="Z32" s="158"/>
      <c r="AA32" s="44">
        <f t="shared" si="7"/>
        <v>4674354.5</v>
      </c>
      <c r="AB32" s="44">
        <f t="shared" si="10"/>
        <v>20518600</v>
      </c>
      <c r="AC32" s="69"/>
      <c r="AD32" s="45"/>
    </row>
    <row r="33" spans="1:30" s="1" customFormat="1" ht="58.5" customHeight="1" x14ac:dyDescent="0.25">
      <c r="A33" s="41" t="s">
        <v>131</v>
      </c>
      <c r="B33" s="42" t="str">
        <f>'дод 5'!A131</f>
        <v>5061</v>
      </c>
      <c r="C33" s="42" t="str">
        <f>'дод 5'!B131</f>
        <v>0810</v>
      </c>
      <c r="D33" s="43" t="str">
        <f>'дод 5'!C131</f>
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33" s="44">
        <f t="shared" si="8"/>
        <v>8289285</v>
      </c>
      <c r="F33" s="44">
        <v>8289285</v>
      </c>
      <c r="G33" s="44">
        <v>4671000</v>
      </c>
      <c r="H33" s="44">
        <v>948100</v>
      </c>
      <c r="I33" s="44"/>
      <c r="J33" s="44">
        <v>1779985.95</v>
      </c>
      <c r="K33" s="44">
        <v>1102085.46</v>
      </c>
      <c r="L33" s="44">
        <v>284718.57</v>
      </c>
      <c r="M33" s="158">
        <f t="shared" si="2"/>
        <v>21.473335154962097</v>
      </c>
      <c r="N33" s="44">
        <f t="shared" si="11"/>
        <v>633800</v>
      </c>
      <c r="O33" s="44">
        <v>50000</v>
      </c>
      <c r="P33" s="44">
        <v>583800</v>
      </c>
      <c r="Q33" s="44">
        <v>352800</v>
      </c>
      <c r="R33" s="44">
        <v>48438</v>
      </c>
      <c r="S33" s="44">
        <v>50000</v>
      </c>
      <c r="T33" s="44">
        <f t="shared" si="6"/>
        <v>24887.63</v>
      </c>
      <c r="U33" s="44"/>
      <c r="V33" s="44">
        <v>24887.63</v>
      </c>
      <c r="W33" s="44"/>
      <c r="X33" s="44">
        <v>8730.4</v>
      </c>
      <c r="Y33" s="44"/>
      <c r="Z33" s="158">
        <f t="shared" si="12"/>
        <v>3.92673240769959</v>
      </c>
      <c r="AA33" s="44">
        <f t="shared" si="7"/>
        <v>1804873.5799999998</v>
      </c>
      <c r="AB33" s="44">
        <f t="shared" si="10"/>
        <v>8923085</v>
      </c>
      <c r="AC33" s="69"/>
      <c r="AD33" s="45"/>
    </row>
    <row r="34" spans="1:30" s="1" customFormat="1" ht="47.25" x14ac:dyDescent="0.25">
      <c r="A34" s="41" t="s">
        <v>273</v>
      </c>
      <c r="B34" s="42" t="str">
        <f>'дод 5'!A132</f>
        <v>5062</v>
      </c>
      <c r="C34" s="42" t="str">
        <f>'дод 5'!B132</f>
        <v>0810</v>
      </c>
      <c r="D34" s="43" t="str">
        <f>'дод 5'!C132</f>
        <v>Підтримка спорту вищих досягнень та організацій, які здійснюють фізкультурно-спортивну діяльність в регіоні</v>
      </c>
      <c r="E34" s="44">
        <f t="shared" si="8"/>
        <v>16861800</v>
      </c>
      <c r="F34" s="44">
        <v>16861800</v>
      </c>
      <c r="G34" s="44"/>
      <c r="H34" s="44"/>
      <c r="I34" s="44"/>
      <c r="J34" s="44">
        <v>4014858.37</v>
      </c>
      <c r="K34" s="44"/>
      <c r="L34" s="44"/>
      <c r="M34" s="158">
        <f t="shared" si="2"/>
        <v>23.810378310737882</v>
      </c>
      <c r="N34" s="44">
        <f t="shared" si="11"/>
        <v>0</v>
      </c>
      <c r="O34" s="44"/>
      <c r="P34" s="44"/>
      <c r="Q34" s="44"/>
      <c r="R34" s="44"/>
      <c r="S34" s="44"/>
      <c r="T34" s="44">
        <f t="shared" si="6"/>
        <v>0</v>
      </c>
      <c r="U34" s="44"/>
      <c r="V34" s="44"/>
      <c r="W34" s="44"/>
      <c r="X34" s="44"/>
      <c r="Y34" s="44"/>
      <c r="Z34" s="158"/>
      <c r="AA34" s="44">
        <f t="shared" si="7"/>
        <v>4014858.37</v>
      </c>
      <c r="AB34" s="44">
        <f t="shared" si="10"/>
        <v>16861800</v>
      </c>
      <c r="AC34" s="69"/>
      <c r="AD34" s="45"/>
    </row>
    <row r="35" spans="1:30" s="45" customFormat="1" ht="30.75" customHeight="1" x14ac:dyDescent="0.25">
      <c r="A35" s="41" t="s">
        <v>191</v>
      </c>
      <c r="B35" s="42" t="str">
        <f>'дод 5'!A164</f>
        <v>7530</v>
      </c>
      <c r="C35" s="42" t="str">
        <f>'дод 5'!B164</f>
        <v>0460</v>
      </c>
      <c r="D35" s="43" t="str">
        <f>'дод 5'!C164</f>
        <v>Інші заходи у сфері зв'язку, телекомунікації та інформатики</v>
      </c>
      <c r="E35" s="44">
        <f t="shared" si="8"/>
        <v>4644100</v>
      </c>
      <c r="F35" s="44">
        <v>4644100</v>
      </c>
      <c r="G35" s="44"/>
      <c r="H35" s="44"/>
      <c r="I35" s="44"/>
      <c r="J35" s="44">
        <v>138987.13</v>
      </c>
      <c r="K35" s="44"/>
      <c r="L35" s="44"/>
      <c r="M35" s="158">
        <f t="shared" si="2"/>
        <v>2.9927678129239252</v>
      </c>
      <c r="N35" s="44">
        <f>P35+S35</f>
        <v>0</v>
      </c>
      <c r="O35" s="44"/>
      <c r="P35" s="44"/>
      <c r="Q35" s="44"/>
      <c r="R35" s="44"/>
      <c r="S35" s="44"/>
      <c r="T35" s="44">
        <f t="shared" si="6"/>
        <v>0</v>
      </c>
      <c r="U35" s="44"/>
      <c r="V35" s="44"/>
      <c r="W35" s="44"/>
      <c r="X35" s="44"/>
      <c r="Y35" s="44"/>
      <c r="Z35" s="158"/>
      <c r="AA35" s="44">
        <f t="shared" si="7"/>
        <v>138987.13</v>
      </c>
      <c r="AB35" s="44">
        <f t="shared" si="10"/>
        <v>4644100</v>
      </c>
      <c r="AC35" s="69"/>
    </row>
    <row r="36" spans="1:30" s="1" customFormat="1" ht="34.5" customHeight="1" x14ac:dyDescent="0.25">
      <c r="A36" s="41" t="s">
        <v>205</v>
      </c>
      <c r="B36" s="42" t="str">
        <f>'дод 5'!A175</f>
        <v>7680</v>
      </c>
      <c r="C36" s="42" t="str">
        <f>'дод 5'!B175</f>
        <v>0490</v>
      </c>
      <c r="D36" s="43" t="str">
        <f>'дод 5'!C175</f>
        <v>Членські внески до асоціацій органів місцевого самоврядування</v>
      </c>
      <c r="E36" s="44">
        <f t="shared" si="8"/>
        <v>463094</v>
      </c>
      <c r="F36" s="44">
        <v>463094</v>
      </c>
      <c r="G36" s="44"/>
      <c r="H36" s="44"/>
      <c r="I36" s="44"/>
      <c r="J36" s="44"/>
      <c r="K36" s="44"/>
      <c r="L36" s="44"/>
      <c r="M36" s="158">
        <f t="shared" si="2"/>
        <v>0</v>
      </c>
      <c r="N36" s="44">
        <f t="shared" si="11"/>
        <v>0</v>
      </c>
      <c r="O36" s="44"/>
      <c r="P36" s="44"/>
      <c r="Q36" s="44"/>
      <c r="R36" s="44"/>
      <c r="S36" s="44"/>
      <c r="T36" s="44">
        <f t="shared" si="6"/>
        <v>0</v>
      </c>
      <c r="U36" s="44"/>
      <c r="V36" s="44"/>
      <c r="W36" s="44"/>
      <c r="X36" s="44"/>
      <c r="Y36" s="44"/>
      <c r="Z36" s="158"/>
      <c r="AA36" s="44">
        <f t="shared" si="7"/>
        <v>0</v>
      </c>
      <c r="AB36" s="44">
        <f t="shared" si="10"/>
        <v>463094</v>
      </c>
      <c r="AC36" s="97"/>
      <c r="AD36" s="45"/>
    </row>
    <row r="37" spans="1:30" s="18" customFormat="1" ht="117" customHeight="1" x14ac:dyDescent="0.25">
      <c r="A37" s="41" t="s">
        <v>235</v>
      </c>
      <c r="B37" s="42" t="str">
        <f>'дод 5'!A176</f>
        <v>7691</v>
      </c>
      <c r="C37" s="42" t="str">
        <f>'дод 5'!B176</f>
        <v>0490</v>
      </c>
      <c r="D37" s="43" t="str">
        <f>'дод 5'!C176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37" s="44">
        <f t="shared" si="8"/>
        <v>0</v>
      </c>
      <c r="F37" s="44"/>
      <c r="G37" s="44"/>
      <c r="H37" s="44"/>
      <c r="I37" s="44"/>
      <c r="J37" s="44"/>
      <c r="K37" s="44"/>
      <c r="L37" s="44"/>
      <c r="M37" s="158"/>
      <c r="N37" s="44">
        <f t="shared" si="11"/>
        <v>124176.6</v>
      </c>
      <c r="O37" s="44"/>
      <c r="P37" s="44">
        <f>30000</f>
        <v>30000</v>
      </c>
      <c r="Q37" s="44"/>
      <c r="R37" s="44"/>
      <c r="S37" s="44">
        <v>94176.6</v>
      </c>
      <c r="T37" s="44">
        <f t="shared" si="6"/>
        <v>0</v>
      </c>
      <c r="U37" s="44"/>
      <c r="V37" s="44"/>
      <c r="W37" s="44"/>
      <c r="X37" s="44"/>
      <c r="Y37" s="44"/>
      <c r="Z37" s="158">
        <f t="shared" si="12"/>
        <v>0</v>
      </c>
      <c r="AA37" s="44">
        <f t="shared" si="7"/>
        <v>0</v>
      </c>
      <c r="AB37" s="44">
        <f t="shared" si="10"/>
        <v>124176.6</v>
      </c>
      <c r="AC37" s="205">
        <v>2</v>
      </c>
      <c r="AD37" s="45"/>
    </row>
    <row r="38" spans="1:30" s="1" customFormat="1" ht="23.25" customHeight="1" x14ac:dyDescent="0.25">
      <c r="A38" s="41" t="s">
        <v>198</v>
      </c>
      <c r="B38" s="42" t="str">
        <f>'дод 5'!A177</f>
        <v>7693</v>
      </c>
      <c r="C38" s="42" t="str">
        <f>'дод 5'!B177</f>
        <v>0490</v>
      </c>
      <c r="D38" s="43" t="str">
        <f>'дод 5'!C177</f>
        <v>Інші заходи, пов'язані з економічною діяльністю</v>
      </c>
      <c r="E38" s="44">
        <f t="shared" si="8"/>
        <v>1500100</v>
      </c>
      <c r="F38" s="44">
        <v>1500100</v>
      </c>
      <c r="G38" s="44"/>
      <c r="H38" s="44"/>
      <c r="I38" s="44"/>
      <c r="J38" s="44">
        <v>42713</v>
      </c>
      <c r="K38" s="44"/>
      <c r="L38" s="44"/>
      <c r="M38" s="158">
        <f t="shared" si="2"/>
        <v>2.8473435104326379</v>
      </c>
      <c r="N38" s="44">
        <f t="shared" si="11"/>
        <v>0</v>
      </c>
      <c r="O38" s="44"/>
      <c r="P38" s="44"/>
      <c r="Q38" s="44"/>
      <c r="R38" s="44"/>
      <c r="S38" s="44"/>
      <c r="T38" s="44">
        <f t="shared" si="6"/>
        <v>0</v>
      </c>
      <c r="U38" s="44"/>
      <c r="V38" s="44"/>
      <c r="W38" s="44"/>
      <c r="X38" s="44"/>
      <c r="Y38" s="44"/>
      <c r="Z38" s="158"/>
      <c r="AA38" s="44">
        <f t="shared" si="7"/>
        <v>42713</v>
      </c>
      <c r="AB38" s="44">
        <f t="shared" si="10"/>
        <v>1500100</v>
      </c>
      <c r="AC38" s="205"/>
      <c r="AD38" s="45"/>
    </row>
    <row r="39" spans="1:30" s="99" customFormat="1" ht="34.5" customHeight="1" x14ac:dyDescent="0.25">
      <c r="A39" s="41" t="s">
        <v>132</v>
      </c>
      <c r="B39" s="42" t="str">
        <f>'дод 5'!A182</f>
        <v>8110</v>
      </c>
      <c r="C39" s="42" t="str">
        <f>'дод 5'!B182</f>
        <v>0320</v>
      </c>
      <c r="D39" s="43" t="str">
        <f>'дод 5'!C182</f>
        <v>Заходи із запобігання та ліквідації надзвичайних ситуацій та наслідків стихійного лиха</v>
      </c>
      <c r="E39" s="44">
        <f t="shared" si="8"/>
        <v>7157800</v>
      </c>
      <c r="F39" s="44">
        <f>6173800+492000+492000</f>
        <v>7157800</v>
      </c>
      <c r="G39" s="44"/>
      <c r="H39" s="44">
        <f>98000+492000+492000</f>
        <v>1082000</v>
      </c>
      <c r="I39" s="44"/>
      <c r="J39" s="44">
        <v>419688.7</v>
      </c>
      <c r="K39" s="44"/>
      <c r="L39" s="44">
        <v>298954.23999999999</v>
      </c>
      <c r="M39" s="158">
        <f t="shared" si="2"/>
        <v>5.863375618206712</v>
      </c>
      <c r="N39" s="44">
        <f t="shared" si="11"/>
        <v>920000</v>
      </c>
      <c r="O39" s="44">
        <v>920000</v>
      </c>
      <c r="P39" s="44"/>
      <c r="Q39" s="44"/>
      <c r="R39" s="44"/>
      <c r="S39" s="44">
        <v>920000</v>
      </c>
      <c r="T39" s="44">
        <f t="shared" si="6"/>
        <v>50000</v>
      </c>
      <c r="U39" s="44"/>
      <c r="V39" s="44">
        <v>50000</v>
      </c>
      <c r="W39" s="44">
        <v>40983.599999999999</v>
      </c>
      <c r="X39" s="44"/>
      <c r="Y39" s="44"/>
      <c r="Z39" s="158">
        <f t="shared" si="12"/>
        <v>5.4347826086956523</v>
      </c>
      <c r="AA39" s="44">
        <f t="shared" si="7"/>
        <v>469688.7</v>
      </c>
      <c r="AB39" s="44">
        <f t="shared" si="10"/>
        <v>8077800</v>
      </c>
      <c r="AC39" s="205"/>
      <c r="AD39" s="45"/>
    </row>
    <row r="40" spans="1:30" s="18" customFormat="1" ht="30" customHeight="1" x14ac:dyDescent="0.25">
      <c r="A40" s="41" t="s">
        <v>182</v>
      </c>
      <c r="B40" s="42" t="str">
        <f>'дод 5'!A183</f>
        <v>8120</v>
      </c>
      <c r="C40" s="42" t="str">
        <f>'дод 5'!B183</f>
        <v>0320</v>
      </c>
      <c r="D40" s="43" t="str">
        <f>'дод 5'!C183</f>
        <v>Заходи з організації рятування на водах, у т.ч. за рахунок:</v>
      </c>
      <c r="E40" s="44">
        <f t="shared" si="8"/>
        <v>4480700</v>
      </c>
      <c r="F40" s="44">
        <f>4480700+514900-514900</f>
        <v>4480700</v>
      </c>
      <c r="G40" s="44">
        <f>3314000+422100-422100</f>
        <v>3314000</v>
      </c>
      <c r="H40" s="44">
        <v>118900</v>
      </c>
      <c r="I40" s="44"/>
      <c r="J40" s="44">
        <v>851350.73</v>
      </c>
      <c r="K40" s="44">
        <v>656074.55000000005</v>
      </c>
      <c r="L40" s="44">
        <v>21445.08</v>
      </c>
      <c r="M40" s="158">
        <f t="shared" si="2"/>
        <v>19.000395697100899</v>
      </c>
      <c r="N40" s="44">
        <f t="shared" si="11"/>
        <v>7100</v>
      </c>
      <c r="O40" s="44"/>
      <c r="P40" s="44">
        <v>7100</v>
      </c>
      <c r="Q40" s="44"/>
      <c r="R40" s="44">
        <v>1500</v>
      </c>
      <c r="S40" s="44"/>
      <c r="T40" s="44">
        <f t="shared" si="6"/>
        <v>78545.170000000013</v>
      </c>
      <c r="U40" s="44"/>
      <c r="V40" s="44">
        <v>36191.440000000002</v>
      </c>
      <c r="W40" s="44"/>
      <c r="X40" s="44"/>
      <c r="Y40" s="44">
        <v>42353.73</v>
      </c>
      <c r="Z40" s="158" t="s">
        <v>516</v>
      </c>
      <c r="AA40" s="44">
        <f t="shared" si="7"/>
        <v>929895.9</v>
      </c>
      <c r="AB40" s="44">
        <f t="shared" si="10"/>
        <v>4487800</v>
      </c>
      <c r="AC40" s="205"/>
      <c r="AD40" s="45"/>
    </row>
    <row r="41" spans="1:30" s="19" customFormat="1" ht="63" x14ac:dyDescent="0.25">
      <c r="A41" s="50"/>
      <c r="B41" s="51"/>
      <c r="C41" s="51"/>
      <c r="D41" s="55" t="str">
        <f>'дод 5'!C184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41" s="53">
        <f t="shared" si="8"/>
        <v>514900</v>
      </c>
      <c r="F41" s="53">
        <f>514900</f>
        <v>514900</v>
      </c>
      <c r="G41" s="53">
        <v>422100</v>
      </c>
      <c r="H41" s="53"/>
      <c r="I41" s="53"/>
      <c r="J41" s="53">
        <v>65150</v>
      </c>
      <c r="K41" s="53">
        <v>53400</v>
      </c>
      <c r="L41" s="53"/>
      <c r="M41" s="159">
        <f t="shared" si="2"/>
        <v>12.652942318896873</v>
      </c>
      <c r="N41" s="53">
        <f t="shared" si="11"/>
        <v>0</v>
      </c>
      <c r="O41" s="53"/>
      <c r="P41" s="53"/>
      <c r="Q41" s="53"/>
      <c r="R41" s="53"/>
      <c r="S41" s="53"/>
      <c r="T41" s="53">
        <f t="shared" si="6"/>
        <v>0</v>
      </c>
      <c r="U41" s="53"/>
      <c r="V41" s="53"/>
      <c r="W41" s="53"/>
      <c r="X41" s="53"/>
      <c r="Y41" s="53"/>
      <c r="Z41" s="159"/>
      <c r="AA41" s="53">
        <f t="shared" si="7"/>
        <v>65150</v>
      </c>
      <c r="AB41" s="44">
        <f t="shared" si="10"/>
        <v>514900</v>
      </c>
      <c r="AC41" s="205"/>
      <c r="AD41" s="54"/>
    </row>
    <row r="42" spans="1:30" s="1" customFormat="1" ht="27" customHeight="1" x14ac:dyDescent="0.25">
      <c r="A42" s="41" t="s">
        <v>201</v>
      </c>
      <c r="B42" s="42" t="str">
        <f>'дод 5'!A186</f>
        <v>8230</v>
      </c>
      <c r="C42" s="42" t="str">
        <f>'дод 5'!B186</f>
        <v>0380</v>
      </c>
      <c r="D42" s="43" t="str">
        <f>'дод 5'!C186</f>
        <v>Інші заходи громадського порядку та безпеки</v>
      </c>
      <c r="E42" s="44">
        <f t="shared" si="8"/>
        <v>714500</v>
      </c>
      <c r="F42" s="44">
        <v>714500</v>
      </c>
      <c r="G42" s="44"/>
      <c r="H42" s="44">
        <v>589400</v>
      </c>
      <c r="I42" s="44"/>
      <c r="J42" s="44">
        <v>232608.15</v>
      </c>
      <c r="K42" s="44"/>
      <c r="L42" s="44">
        <v>219811.55</v>
      </c>
      <c r="M42" s="158">
        <f t="shared" si="2"/>
        <v>32.555374387683692</v>
      </c>
      <c r="N42" s="44">
        <f t="shared" si="11"/>
        <v>0</v>
      </c>
      <c r="O42" s="44"/>
      <c r="P42" s="44"/>
      <c r="Q42" s="44"/>
      <c r="R42" s="44"/>
      <c r="S42" s="44"/>
      <c r="T42" s="44">
        <f t="shared" si="6"/>
        <v>0</v>
      </c>
      <c r="U42" s="44"/>
      <c r="V42" s="44"/>
      <c r="W42" s="44"/>
      <c r="X42" s="44"/>
      <c r="Y42" s="44"/>
      <c r="Z42" s="158"/>
      <c r="AA42" s="44">
        <f t="shared" si="7"/>
        <v>232608.15</v>
      </c>
      <c r="AB42" s="44">
        <f t="shared" si="10"/>
        <v>714500</v>
      </c>
      <c r="AC42" s="205"/>
      <c r="AD42" s="45"/>
    </row>
    <row r="43" spans="1:30" s="99" customFormat="1" ht="17.25" customHeight="1" x14ac:dyDescent="0.25">
      <c r="A43" s="41" t="s">
        <v>335</v>
      </c>
      <c r="B43" s="42">
        <f>'дод 5'!A187</f>
        <v>8240</v>
      </c>
      <c r="C43" s="42" t="str">
        <f>'дод 5'!B187</f>
        <v>0380</v>
      </c>
      <c r="D43" s="46" t="str">
        <f>'дод 5'!C187</f>
        <v>Заходи та роботи з територіальної оборони</v>
      </c>
      <c r="E43" s="44">
        <f t="shared" ref="E43" si="13">F43+I43</f>
        <v>12299264</v>
      </c>
      <c r="F43" s="44">
        <f>3750000+7799264+750000</f>
        <v>12299264</v>
      </c>
      <c r="G43" s="44"/>
      <c r="H43" s="44">
        <f>750000+750000</f>
        <v>1500000</v>
      </c>
      <c r="I43" s="44"/>
      <c r="J43" s="44">
        <v>3023766.82</v>
      </c>
      <c r="K43" s="44"/>
      <c r="L43" s="44">
        <v>617655.48</v>
      </c>
      <c r="M43" s="158">
        <f t="shared" si="2"/>
        <v>24.584941180220213</v>
      </c>
      <c r="N43" s="44">
        <f t="shared" ref="N43" si="14">P43+S43</f>
        <v>0</v>
      </c>
      <c r="O43" s="44"/>
      <c r="P43" s="44"/>
      <c r="Q43" s="44"/>
      <c r="R43" s="44"/>
      <c r="S43" s="44"/>
      <c r="T43" s="44">
        <f t="shared" si="6"/>
        <v>0</v>
      </c>
      <c r="U43" s="44"/>
      <c r="V43" s="44"/>
      <c r="W43" s="44"/>
      <c r="X43" s="44"/>
      <c r="Y43" s="44"/>
      <c r="Z43" s="158"/>
      <c r="AA43" s="44">
        <f t="shared" si="7"/>
        <v>3023766.82</v>
      </c>
      <c r="AB43" s="44">
        <f t="shared" ref="AB43" si="15">E43+N43</f>
        <v>12299264</v>
      </c>
      <c r="AC43" s="205"/>
      <c r="AD43" s="45"/>
    </row>
    <row r="44" spans="1:30" s="1" customFormat="1" ht="31.5" x14ac:dyDescent="0.25">
      <c r="A44" s="41" t="s">
        <v>133</v>
      </c>
      <c r="B44" s="42" t="str">
        <f>'дод 5'!A190</f>
        <v>8340</v>
      </c>
      <c r="C44" s="42" t="str">
        <f>'дод 5'!B190</f>
        <v>0540</v>
      </c>
      <c r="D44" s="43" t="str">
        <f>'дод 5'!C190</f>
        <v>Природоохоронні заходи за рахунок цільових фондів</v>
      </c>
      <c r="E44" s="44">
        <f t="shared" si="8"/>
        <v>0</v>
      </c>
      <c r="F44" s="44"/>
      <c r="G44" s="44"/>
      <c r="H44" s="44"/>
      <c r="I44" s="44"/>
      <c r="J44" s="44"/>
      <c r="K44" s="44"/>
      <c r="L44" s="44"/>
      <c r="M44" s="158"/>
      <c r="N44" s="44">
        <f t="shared" si="11"/>
        <v>80000</v>
      </c>
      <c r="O44" s="44"/>
      <c r="P44" s="44">
        <v>80000</v>
      </c>
      <c r="Q44" s="44"/>
      <c r="R44" s="44"/>
      <c r="S44" s="44"/>
      <c r="T44" s="44">
        <f t="shared" si="6"/>
        <v>33050</v>
      </c>
      <c r="U44" s="44"/>
      <c r="V44" s="44">
        <v>33050</v>
      </c>
      <c r="W44" s="44"/>
      <c r="X44" s="44"/>
      <c r="Y44" s="44"/>
      <c r="Z44" s="158">
        <f t="shared" si="12"/>
        <v>41.3125</v>
      </c>
      <c r="AA44" s="44">
        <f t="shared" si="7"/>
        <v>33050</v>
      </c>
      <c r="AB44" s="44">
        <f t="shared" si="10"/>
        <v>80000</v>
      </c>
      <c r="AC44" s="205"/>
      <c r="AD44" s="45"/>
    </row>
    <row r="45" spans="1:30" s="18" customFormat="1" ht="47.25" customHeight="1" x14ac:dyDescent="0.25">
      <c r="A45" s="41" t="s">
        <v>283</v>
      </c>
      <c r="B45" s="42">
        <f>'дод 5'!A197</f>
        <v>9800</v>
      </c>
      <c r="C45" s="42" t="str">
        <f>'дод 5'!B197</f>
        <v>0180</v>
      </c>
      <c r="D45" s="46" t="str">
        <f>'дод 5'!C197</f>
        <v>Субвенція з місцевого бюджету державному бюджету на виконання програм соціально-економічного розвитку регіонів</v>
      </c>
      <c r="E45" s="44">
        <f>F45+I45</f>
        <v>3771000</v>
      </c>
      <c r="F45" s="44">
        <f>200000+2755000+816000</f>
        <v>3771000</v>
      </c>
      <c r="G45" s="44"/>
      <c r="H45" s="44"/>
      <c r="I45" s="44"/>
      <c r="J45" s="44">
        <v>3771000</v>
      </c>
      <c r="K45" s="44"/>
      <c r="L45" s="44"/>
      <c r="M45" s="158">
        <f t="shared" si="2"/>
        <v>100</v>
      </c>
      <c r="N45" s="44">
        <f t="shared" si="11"/>
        <v>6440000</v>
      </c>
      <c r="O45" s="44">
        <f>10024200-213200+200000-2755000-816000</f>
        <v>6440000</v>
      </c>
      <c r="P45" s="44"/>
      <c r="Q45" s="44"/>
      <c r="R45" s="44"/>
      <c r="S45" s="44">
        <f>10024200-213200+200000-2755000-816000</f>
        <v>6440000</v>
      </c>
      <c r="T45" s="44">
        <f t="shared" si="6"/>
        <v>6440000</v>
      </c>
      <c r="U45" s="44">
        <v>6440000</v>
      </c>
      <c r="V45" s="44"/>
      <c r="W45" s="44"/>
      <c r="X45" s="44"/>
      <c r="Y45" s="44">
        <v>6440000</v>
      </c>
      <c r="Z45" s="158">
        <f t="shared" si="12"/>
        <v>100</v>
      </c>
      <c r="AA45" s="44">
        <f t="shared" si="7"/>
        <v>10211000</v>
      </c>
      <c r="AB45" s="44">
        <f t="shared" si="10"/>
        <v>10211000</v>
      </c>
      <c r="AC45" s="205"/>
      <c r="AD45" s="45"/>
    </row>
    <row r="46" spans="1:30" s="13" customFormat="1" ht="29.25" customHeight="1" x14ac:dyDescent="0.25">
      <c r="A46" s="32" t="s">
        <v>134</v>
      </c>
      <c r="B46" s="47"/>
      <c r="C46" s="47"/>
      <c r="D46" s="33" t="s">
        <v>21</v>
      </c>
      <c r="E46" s="34">
        <f>E47</f>
        <v>1298349115</v>
      </c>
      <c r="F46" s="34">
        <f t="shared" ref="F46:AA46" si="16">F47</f>
        <v>1298349115</v>
      </c>
      <c r="G46" s="34">
        <f t="shared" si="16"/>
        <v>857510810</v>
      </c>
      <c r="H46" s="34">
        <f t="shared" si="16"/>
        <v>151871100</v>
      </c>
      <c r="I46" s="34">
        <f t="shared" si="16"/>
        <v>0</v>
      </c>
      <c r="J46" s="34">
        <f t="shared" si="16"/>
        <v>362507952.8499999</v>
      </c>
      <c r="K46" s="34">
        <f t="shared" si="16"/>
        <v>239242482.66</v>
      </c>
      <c r="L46" s="34">
        <f t="shared" si="16"/>
        <v>51834889.420000009</v>
      </c>
      <c r="M46" s="156">
        <f t="shared" si="2"/>
        <v>27.920683941006107</v>
      </c>
      <c r="N46" s="34">
        <f t="shared" si="16"/>
        <v>169444430.67000002</v>
      </c>
      <c r="O46" s="34">
        <f t="shared" si="16"/>
        <v>66465730.670000002</v>
      </c>
      <c r="P46" s="34">
        <f t="shared" si="16"/>
        <v>87460000</v>
      </c>
      <c r="Q46" s="34">
        <f t="shared" si="16"/>
        <v>9886420</v>
      </c>
      <c r="R46" s="34">
        <f t="shared" si="16"/>
        <v>6906830</v>
      </c>
      <c r="S46" s="34">
        <f t="shared" si="16"/>
        <v>81984430.670000002</v>
      </c>
      <c r="T46" s="34">
        <f t="shared" si="16"/>
        <v>32798544.989999995</v>
      </c>
      <c r="U46" s="34">
        <f t="shared" si="16"/>
        <v>4820940.54</v>
      </c>
      <c r="V46" s="34">
        <f t="shared" si="16"/>
        <v>23334979.559999999</v>
      </c>
      <c r="W46" s="34">
        <f t="shared" si="16"/>
        <v>3199698.3899999997</v>
      </c>
      <c r="X46" s="34">
        <f t="shared" si="16"/>
        <v>1063553.67</v>
      </c>
      <c r="Y46" s="34">
        <f t="shared" si="16"/>
        <v>9463565.4299999997</v>
      </c>
      <c r="Z46" s="156">
        <f t="shared" si="12"/>
        <v>19.356519928280502</v>
      </c>
      <c r="AA46" s="34">
        <f t="shared" si="16"/>
        <v>395306497.83999991</v>
      </c>
      <c r="AB46" s="34">
        <f t="shared" ref="AB46" si="17">AB47</f>
        <v>1467793545.6700001</v>
      </c>
      <c r="AC46" s="205"/>
      <c r="AD46" s="35"/>
    </row>
    <row r="47" spans="1:30" s="3" customFormat="1" ht="33" customHeight="1" x14ac:dyDescent="0.25">
      <c r="A47" s="36" t="s">
        <v>135</v>
      </c>
      <c r="B47" s="48"/>
      <c r="C47" s="48"/>
      <c r="D47" s="38" t="s">
        <v>397</v>
      </c>
      <c r="E47" s="39">
        <f>E58+E59+E60+E61+E62+E70+E76+E77+E78+E81+E99+E100+E101+E103+E71+E102+E63+E79+E66+E68+E74+E82+E83+E85+E94+E92+E96+E87+E90+E88</f>
        <v>1298349115</v>
      </c>
      <c r="F47" s="39">
        <f t="shared" ref="F47:AA47" si="18">F58+F59+F60+F61+F62+F70+F76+F77+F78+F81+F99+F100+F101+F103+F71+F102+F63+F79+F66+F68+F74+F82+F83+F85+F94+F92+F96+F87+F90+F88</f>
        <v>1298349115</v>
      </c>
      <c r="G47" s="39">
        <f t="shared" si="18"/>
        <v>857510810</v>
      </c>
      <c r="H47" s="39">
        <f t="shared" si="18"/>
        <v>151871100</v>
      </c>
      <c r="I47" s="39">
        <f t="shared" si="18"/>
        <v>0</v>
      </c>
      <c r="J47" s="39">
        <f t="shared" si="18"/>
        <v>362507952.8499999</v>
      </c>
      <c r="K47" s="39">
        <f t="shared" si="18"/>
        <v>239242482.66</v>
      </c>
      <c r="L47" s="39">
        <f t="shared" si="18"/>
        <v>51834889.420000009</v>
      </c>
      <c r="M47" s="157">
        <f t="shared" si="2"/>
        <v>27.920683941006107</v>
      </c>
      <c r="N47" s="39">
        <f t="shared" si="18"/>
        <v>169444430.67000002</v>
      </c>
      <c r="O47" s="39">
        <f t="shared" si="18"/>
        <v>66465730.670000002</v>
      </c>
      <c r="P47" s="39">
        <f t="shared" si="18"/>
        <v>87460000</v>
      </c>
      <c r="Q47" s="39">
        <f t="shared" si="18"/>
        <v>9886420</v>
      </c>
      <c r="R47" s="39">
        <f t="shared" si="18"/>
        <v>6906830</v>
      </c>
      <c r="S47" s="39">
        <f t="shared" si="18"/>
        <v>81984430.670000002</v>
      </c>
      <c r="T47" s="39">
        <f t="shared" si="18"/>
        <v>32798544.989999995</v>
      </c>
      <c r="U47" s="39">
        <f t="shared" si="18"/>
        <v>4820940.54</v>
      </c>
      <c r="V47" s="39">
        <f t="shared" si="18"/>
        <v>23334979.559999999</v>
      </c>
      <c r="W47" s="39">
        <f t="shared" si="18"/>
        <v>3199698.3899999997</v>
      </c>
      <c r="X47" s="39">
        <f t="shared" si="18"/>
        <v>1063553.67</v>
      </c>
      <c r="Y47" s="39">
        <f t="shared" si="18"/>
        <v>9463565.4299999997</v>
      </c>
      <c r="Z47" s="157">
        <f t="shared" si="12"/>
        <v>19.356519928280502</v>
      </c>
      <c r="AA47" s="39">
        <f t="shared" si="18"/>
        <v>395306497.83999991</v>
      </c>
      <c r="AB47" s="39">
        <f t="shared" ref="AB47" si="19">AB58+AB59+AB60+AB61+AB62+AB70+AB76+AB77+AB78+AB81+AB99+AB100+AB101+AB103+AB71+AB102+AB63+AB79+AB66+AB68+AB74+AB82+AB83+AB85+AB94+AB92+AB96+AB87+AB90+AB88</f>
        <v>1467793545.6700001</v>
      </c>
      <c r="AC47" s="205"/>
      <c r="AD47" s="40"/>
    </row>
    <row r="48" spans="1:30" s="3" customFormat="1" ht="33" customHeight="1" x14ac:dyDescent="0.25">
      <c r="A48" s="36"/>
      <c r="B48" s="48"/>
      <c r="C48" s="48"/>
      <c r="D48" s="49" t="s">
        <v>402</v>
      </c>
      <c r="E48" s="39">
        <f>E64+E67+E69+E75+E89</f>
        <v>336977300</v>
      </c>
      <c r="F48" s="39">
        <f t="shared" ref="F48:AA48" si="20">F64+F67+F69+F75+F89</f>
        <v>336977300</v>
      </c>
      <c r="G48" s="39">
        <f t="shared" si="20"/>
        <v>276212800</v>
      </c>
      <c r="H48" s="39">
        <f t="shared" si="20"/>
        <v>0</v>
      </c>
      <c r="I48" s="39">
        <f t="shared" si="20"/>
        <v>0</v>
      </c>
      <c r="J48" s="39">
        <f t="shared" si="20"/>
        <v>114335282.84</v>
      </c>
      <c r="K48" s="39">
        <f t="shared" si="20"/>
        <v>93926956.829999998</v>
      </c>
      <c r="L48" s="39">
        <f t="shared" si="20"/>
        <v>0</v>
      </c>
      <c r="M48" s="157">
        <f t="shared" si="2"/>
        <v>33.929669102340128</v>
      </c>
      <c r="N48" s="39">
        <f t="shared" si="20"/>
        <v>15081700</v>
      </c>
      <c r="O48" s="39">
        <f t="shared" si="20"/>
        <v>0</v>
      </c>
      <c r="P48" s="39">
        <f t="shared" si="20"/>
        <v>0</v>
      </c>
      <c r="Q48" s="39">
        <f t="shared" si="20"/>
        <v>0</v>
      </c>
      <c r="R48" s="39">
        <f t="shared" si="20"/>
        <v>0</v>
      </c>
      <c r="S48" s="39">
        <f t="shared" si="20"/>
        <v>15081700</v>
      </c>
      <c r="T48" s="39">
        <f t="shared" si="20"/>
        <v>0</v>
      </c>
      <c r="U48" s="39">
        <f t="shared" si="20"/>
        <v>0</v>
      </c>
      <c r="V48" s="39">
        <f t="shared" si="20"/>
        <v>0</v>
      </c>
      <c r="W48" s="39">
        <f t="shared" si="20"/>
        <v>0</v>
      </c>
      <c r="X48" s="39">
        <f t="shared" si="20"/>
        <v>0</v>
      </c>
      <c r="Y48" s="39">
        <f t="shared" si="20"/>
        <v>0</v>
      </c>
      <c r="Z48" s="157">
        <f t="shared" si="12"/>
        <v>0</v>
      </c>
      <c r="AA48" s="39">
        <f t="shared" si="20"/>
        <v>114335282.84</v>
      </c>
      <c r="AB48" s="39">
        <f t="shared" ref="AB48" si="21">AB64+AB67+AB69+AB75+AB89</f>
        <v>352059000</v>
      </c>
      <c r="AC48" s="205"/>
      <c r="AD48" s="40"/>
    </row>
    <row r="49" spans="1:30" s="20" customFormat="1" ht="68.25" customHeight="1" x14ac:dyDescent="0.25">
      <c r="A49" s="36"/>
      <c r="B49" s="48"/>
      <c r="C49" s="48"/>
      <c r="D49" s="49" t="str">
        <f>D84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49" s="39">
        <f>E84</f>
        <v>2625231</v>
      </c>
      <c r="F49" s="39">
        <f t="shared" ref="F49:AA49" si="22">F84</f>
        <v>2625231</v>
      </c>
      <c r="G49" s="39">
        <f t="shared" si="22"/>
        <v>0</v>
      </c>
      <c r="H49" s="39">
        <f t="shared" si="22"/>
        <v>0</v>
      </c>
      <c r="I49" s="39">
        <f t="shared" si="22"/>
        <v>0</v>
      </c>
      <c r="J49" s="39">
        <f t="shared" si="22"/>
        <v>0</v>
      </c>
      <c r="K49" s="39">
        <f t="shared" si="22"/>
        <v>0</v>
      </c>
      <c r="L49" s="39">
        <f t="shared" si="22"/>
        <v>0</v>
      </c>
      <c r="M49" s="157">
        <f t="shared" si="2"/>
        <v>0</v>
      </c>
      <c r="N49" s="39">
        <f t="shared" si="22"/>
        <v>7677569</v>
      </c>
      <c r="O49" s="39">
        <f t="shared" si="22"/>
        <v>7677569</v>
      </c>
      <c r="P49" s="39">
        <f t="shared" si="22"/>
        <v>0</v>
      </c>
      <c r="Q49" s="39">
        <f t="shared" si="22"/>
        <v>0</v>
      </c>
      <c r="R49" s="39">
        <f t="shared" si="22"/>
        <v>0</v>
      </c>
      <c r="S49" s="39">
        <f t="shared" si="22"/>
        <v>7677569</v>
      </c>
      <c r="T49" s="39">
        <f t="shared" si="22"/>
        <v>0</v>
      </c>
      <c r="U49" s="39">
        <f t="shared" si="22"/>
        <v>0</v>
      </c>
      <c r="V49" s="39">
        <f t="shared" si="22"/>
        <v>0</v>
      </c>
      <c r="W49" s="39">
        <f t="shared" si="22"/>
        <v>0</v>
      </c>
      <c r="X49" s="39">
        <f t="shared" si="22"/>
        <v>0</v>
      </c>
      <c r="Y49" s="39">
        <f t="shared" si="22"/>
        <v>0</v>
      </c>
      <c r="Z49" s="157">
        <f t="shared" si="12"/>
        <v>0</v>
      </c>
      <c r="AA49" s="39">
        <f t="shared" si="22"/>
        <v>0</v>
      </c>
      <c r="AB49" s="39">
        <f t="shared" ref="AB49" si="23">AB84</f>
        <v>10302800</v>
      </c>
      <c r="AC49" s="205"/>
      <c r="AD49" s="40"/>
    </row>
    <row r="50" spans="1:30" s="3" customFormat="1" ht="53.85" customHeight="1" x14ac:dyDescent="0.25">
      <c r="A50" s="36"/>
      <c r="B50" s="48"/>
      <c r="C50" s="48"/>
      <c r="D50" s="49" t="str">
        <f>D86</f>
        <v>субвенції з державного бюджету місцевим бюджетам на надання державної пітримки особам з особливими освітніми потребами</v>
      </c>
      <c r="E50" s="39">
        <f>E86</f>
        <v>891200</v>
      </c>
      <c r="F50" s="39">
        <f t="shared" ref="F50:AA50" si="24">F86</f>
        <v>891200</v>
      </c>
      <c r="G50" s="39">
        <f t="shared" si="24"/>
        <v>730490</v>
      </c>
      <c r="H50" s="39">
        <f t="shared" si="24"/>
        <v>0</v>
      </c>
      <c r="I50" s="39">
        <f t="shared" si="24"/>
        <v>0</v>
      </c>
      <c r="J50" s="39">
        <f t="shared" si="24"/>
        <v>255893.98</v>
      </c>
      <c r="K50" s="39">
        <f t="shared" si="24"/>
        <v>209749.24</v>
      </c>
      <c r="L50" s="39">
        <f t="shared" si="24"/>
        <v>0</v>
      </c>
      <c r="M50" s="157">
        <f t="shared" si="2"/>
        <v>28.713417863554756</v>
      </c>
      <c r="N50" s="39">
        <f t="shared" si="24"/>
        <v>0</v>
      </c>
      <c r="O50" s="39">
        <f t="shared" si="24"/>
        <v>0</v>
      </c>
      <c r="P50" s="39">
        <f t="shared" si="24"/>
        <v>0</v>
      </c>
      <c r="Q50" s="39">
        <f t="shared" si="24"/>
        <v>0</v>
      </c>
      <c r="R50" s="39">
        <f t="shared" si="24"/>
        <v>0</v>
      </c>
      <c r="S50" s="39">
        <f t="shared" si="24"/>
        <v>0</v>
      </c>
      <c r="T50" s="39">
        <f t="shared" si="24"/>
        <v>0</v>
      </c>
      <c r="U50" s="39">
        <f t="shared" si="24"/>
        <v>0</v>
      </c>
      <c r="V50" s="39">
        <f t="shared" si="24"/>
        <v>0</v>
      </c>
      <c r="W50" s="39">
        <f t="shared" si="24"/>
        <v>0</v>
      </c>
      <c r="X50" s="39">
        <f t="shared" si="24"/>
        <v>0</v>
      </c>
      <c r="Y50" s="39">
        <f t="shared" si="24"/>
        <v>0</v>
      </c>
      <c r="Z50" s="157"/>
      <c r="AA50" s="39">
        <f t="shared" si="24"/>
        <v>255893.98</v>
      </c>
      <c r="AB50" s="39">
        <f t="shared" ref="AB50" si="25">AB86</f>
        <v>891200</v>
      </c>
      <c r="AC50" s="205"/>
      <c r="AD50" s="40"/>
    </row>
    <row r="51" spans="1:30" s="3" customFormat="1" ht="50.85" customHeight="1" x14ac:dyDescent="0.25">
      <c r="A51" s="36"/>
      <c r="B51" s="48"/>
      <c r="C51" s="48"/>
      <c r="D51" s="49" t="str">
        <f>D95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51" s="39">
        <f>E95</f>
        <v>24742100</v>
      </c>
      <c r="F51" s="39">
        <f t="shared" ref="F51:AA51" si="26">F95</f>
        <v>24742100</v>
      </c>
      <c r="G51" s="39">
        <f t="shared" si="26"/>
        <v>20280410</v>
      </c>
      <c r="H51" s="39">
        <f t="shared" si="26"/>
        <v>0</v>
      </c>
      <c r="I51" s="39">
        <f t="shared" si="26"/>
        <v>0</v>
      </c>
      <c r="J51" s="39">
        <f t="shared" si="26"/>
        <v>11741598.029999999</v>
      </c>
      <c r="K51" s="39">
        <f t="shared" si="26"/>
        <v>9662411.7799999993</v>
      </c>
      <c r="L51" s="39">
        <f t="shared" si="26"/>
        <v>0</v>
      </c>
      <c r="M51" s="157">
        <f t="shared" si="2"/>
        <v>47.455947676227964</v>
      </c>
      <c r="N51" s="39">
        <f t="shared" si="26"/>
        <v>0</v>
      </c>
      <c r="O51" s="39">
        <f t="shared" si="26"/>
        <v>0</v>
      </c>
      <c r="P51" s="39">
        <f t="shared" si="26"/>
        <v>0</v>
      </c>
      <c r="Q51" s="39">
        <f t="shared" si="26"/>
        <v>0</v>
      </c>
      <c r="R51" s="39">
        <f t="shared" si="26"/>
        <v>0</v>
      </c>
      <c r="S51" s="39">
        <f t="shared" si="26"/>
        <v>0</v>
      </c>
      <c r="T51" s="39">
        <f t="shared" si="26"/>
        <v>0</v>
      </c>
      <c r="U51" s="39">
        <f t="shared" si="26"/>
        <v>0</v>
      </c>
      <c r="V51" s="39">
        <f t="shared" si="26"/>
        <v>0</v>
      </c>
      <c r="W51" s="39">
        <f t="shared" si="26"/>
        <v>0</v>
      </c>
      <c r="X51" s="39">
        <f t="shared" si="26"/>
        <v>0</v>
      </c>
      <c r="Y51" s="39">
        <f t="shared" si="26"/>
        <v>0</v>
      </c>
      <c r="Z51" s="157"/>
      <c r="AA51" s="39">
        <f t="shared" si="26"/>
        <v>11741598.029999999</v>
      </c>
      <c r="AB51" s="39">
        <f t="shared" ref="AB51" si="27">AB95</f>
        <v>24742100</v>
      </c>
      <c r="AC51" s="205"/>
      <c r="AD51" s="40"/>
    </row>
    <row r="52" spans="1:30" s="3" customFormat="1" ht="50.85" customHeight="1" x14ac:dyDescent="0.25">
      <c r="A52" s="36"/>
      <c r="B52" s="48"/>
      <c r="C52" s="48"/>
      <c r="D52" s="49" t="str">
        <f>D93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52" s="39">
        <f>E93</f>
        <v>0</v>
      </c>
      <c r="F52" s="39">
        <f t="shared" ref="F52:AA52" si="28">F93</f>
        <v>0</v>
      </c>
      <c r="G52" s="39">
        <f t="shared" si="28"/>
        <v>0</v>
      </c>
      <c r="H52" s="39">
        <f t="shared" si="28"/>
        <v>0</v>
      </c>
      <c r="I52" s="39">
        <f t="shared" si="28"/>
        <v>0</v>
      </c>
      <c r="J52" s="39">
        <f t="shared" si="28"/>
        <v>0</v>
      </c>
      <c r="K52" s="39">
        <f t="shared" si="28"/>
        <v>0</v>
      </c>
      <c r="L52" s="39">
        <f t="shared" si="28"/>
        <v>0</v>
      </c>
      <c r="M52" s="157"/>
      <c r="N52" s="39">
        <f t="shared" si="28"/>
        <v>22533600</v>
      </c>
      <c r="O52" s="39">
        <f t="shared" si="28"/>
        <v>0</v>
      </c>
      <c r="P52" s="39">
        <f t="shared" si="28"/>
        <v>22533600</v>
      </c>
      <c r="Q52" s="39">
        <f t="shared" si="28"/>
        <v>0</v>
      </c>
      <c r="R52" s="39">
        <f t="shared" si="28"/>
        <v>0</v>
      </c>
      <c r="S52" s="39">
        <f t="shared" si="28"/>
        <v>0</v>
      </c>
      <c r="T52" s="39">
        <f t="shared" si="28"/>
        <v>2409535.29</v>
      </c>
      <c r="U52" s="39">
        <f t="shared" si="28"/>
        <v>0</v>
      </c>
      <c r="V52" s="39">
        <f t="shared" si="28"/>
        <v>2409535.29</v>
      </c>
      <c r="W52" s="39">
        <f t="shared" si="28"/>
        <v>0</v>
      </c>
      <c r="X52" s="39">
        <f t="shared" si="28"/>
        <v>0</v>
      </c>
      <c r="Y52" s="39">
        <f t="shared" si="28"/>
        <v>0</v>
      </c>
      <c r="Z52" s="157">
        <f t="shared" si="12"/>
        <v>10.693077404409415</v>
      </c>
      <c r="AA52" s="39">
        <f t="shared" si="28"/>
        <v>2409535.29</v>
      </c>
      <c r="AB52" s="39">
        <f t="shared" ref="AB52" si="29">AB93</f>
        <v>22533600</v>
      </c>
      <c r="AC52" s="205"/>
      <c r="AD52" s="40"/>
    </row>
    <row r="53" spans="1:30" s="20" customFormat="1" ht="141.75" x14ac:dyDescent="0.25">
      <c r="A53" s="36"/>
      <c r="B53" s="48"/>
      <c r="C53" s="48"/>
      <c r="D53" s="49" t="str">
        <f>D72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53" s="39">
        <f t="shared" ref="E53:AB53" si="30">E72+E91</f>
        <v>0</v>
      </c>
      <c r="F53" s="39">
        <f t="shared" ref="F53:AA53" si="31">F72+F91</f>
        <v>0</v>
      </c>
      <c r="G53" s="39">
        <f t="shared" si="31"/>
        <v>0</v>
      </c>
      <c r="H53" s="39">
        <f t="shared" si="31"/>
        <v>0</v>
      </c>
      <c r="I53" s="39">
        <f t="shared" si="31"/>
        <v>0</v>
      </c>
      <c r="J53" s="39">
        <f t="shared" si="31"/>
        <v>0</v>
      </c>
      <c r="K53" s="39">
        <f t="shared" si="31"/>
        <v>0</v>
      </c>
      <c r="L53" s="39">
        <f t="shared" si="31"/>
        <v>0</v>
      </c>
      <c r="M53" s="157"/>
      <c r="N53" s="39">
        <f t="shared" si="31"/>
        <v>35673973.670000002</v>
      </c>
      <c r="O53" s="39">
        <f t="shared" si="31"/>
        <v>35673973.670000002</v>
      </c>
      <c r="P53" s="39">
        <f t="shared" si="31"/>
        <v>0</v>
      </c>
      <c r="Q53" s="39">
        <f t="shared" si="31"/>
        <v>0</v>
      </c>
      <c r="R53" s="39">
        <f t="shared" si="31"/>
        <v>0</v>
      </c>
      <c r="S53" s="39">
        <f t="shared" si="31"/>
        <v>35673973.670000002</v>
      </c>
      <c r="T53" s="39">
        <f t="shared" si="31"/>
        <v>4618853.38</v>
      </c>
      <c r="U53" s="39">
        <f t="shared" si="31"/>
        <v>4618853.38</v>
      </c>
      <c r="V53" s="39">
        <f t="shared" si="31"/>
        <v>0</v>
      </c>
      <c r="W53" s="39">
        <f t="shared" si="31"/>
        <v>0</v>
      </c>
      <c r="X53" s="39">
        <f t="shared" si="31"/>
        <v>0</v>
      </c>
      <c r="Y53" s="39">
        <f t="shared" si="31"/>
        <v>4618853.38</v>
      </c>
      <c r="Z53" s="157">
        <f t="shared" si="12"/>
        <v>12.947403680695713</v>
      </c>
      <c r="AA53" s="39">
        <f t="shared" si="31"/>
        <v>4618853.38</v>
      </c>
      <c r="AB53" s="39">
        <f t="shared" si="30"/>
        <v>35673973.670000002</v>
      </c>
      <c r="AC53" s="205"/>
      <c r="AD53" s="40"/>
    </row>
    <row r="54" spans="1:30" s="20" customFormat="1" ht="63" x14ac:dyDescent="0.25">
      <c r="A54" s="36"/>
      <c r="B54" s="48"/>
      <c r="C54" s="48"/>
      <c r="D54" s="49" t="str">
        <f>D98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4" s="39">
        <f>E98</f>
        <v>0</v>
      </c>
      <c r="F54" s="39">
        <f t="shared" ref="F54:AA54" si="32">F98</f>
        <v>0</v>
      </c>
      <c r="G54" s="39">
        <f t="shared" si="32"/>
        <v>0</v>
      </c>
      <c r="H54" s="39">
        <f t="shared" si="32"/>
        <v>0</v>
      </c>
      <c r="I54" s="39">
        <f t="shared" si="32"/>
        <v>0</v>
      </c>
      <c r="J54" s="39">
        <f t="shared" si="32"/>
        <v>0</v>
      </c>
      <c r="K54" s="39">
        <f t="shared" si="32"/>
        <v>0</v>
      </c>
      <c r="L54" s="39">
        <f t="shared" si="32"/>
        <v>0</v>
      </c>
      <c r="M54" s="157"/>
      <c r="N54" s="39">
        <f t="shared" si="32"/>
        <v>2892900</v>
      </c>
      <c r="O54" s="39">
        <f t="shared" si="32"/>
        <v>0</v>
      </c>
      <c r="P54" s="39">
        <f t="shared" si="32"/>
        <v>2892900</v>
      </c>
      <c r="Q54" s="39">
        <f t="shared" si="32"/>
        <v>0</v>
      </c>
      <c r="R54" s="39">
        <f t="shared" si="32"/>
        <v>0</v>
      </c>
      <c r="S54" s="39">
        <f t="shared" si="32"/>
        <v>0</v>
      </c>
      <c r="T54" s="39">
        <f t="shared" si="32"/>
        <v>0</v>
      </c>
      <c r="U54" s="39">
        <f t="shared" si="32"/>
        <v>0</v>
      </c>
      <c r="V54" s="39">
        <f t="shared" si="32"/>
        <v>0</v>
      </c>
      <c r="W54" s="39">
        <f t="shared" si="32"/>
        <v>0</v>
      </c>
      <c r="X54" s="39">
        <f t="shared" si="32"/>
        <v>0</v>
      </c>
      <c r="Y54" s="39">
        <f t="shared" si="32"/>
        <v>0</v>
      </c>
      <c r="Z54" s="157">
        <f t="shared" si="12"/>
        <v>0</v>
      </c>
      <c r="AA54" s="39">
        <f t="shared" si="32"/>
        <v>0</v>
      </c>
      <c r="AB54" s="39">
        <f t="shared" ref="AB54" si="33">AB98</f>
        <v>2892900</v>
      </c>
      <c r="AC54" s="205"/>
      <c r="AD54" s="40"/>
    </row>
    <row r="55" spans="1:30" s="20" customFormat="1" ht="79.349999999999994" customHeight="1" x14ac:dyDescent="0.25">
      <c r="A55" s="36"/>
      <c r="B55" s="48"/>
      <c r="C55" s="48"/>
      <c r="D55" s="49" t="str">
        <f>D97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5" s="49">
        <f t="shared" ref="E55:AB55" si="34">E97</f>
        <v>0</v>
      </c>
      <c r="F55" s="49">
        <f t="shared" ref="F55:AA55" si="35">F97</f>
        <v>0</v>
      </c>
      <c r="G55" s="49">
        <f t="shared" si="35"/>
        <v>0</v>
      </c>
      <c r="H55" s="49">
        <f t="shared" si="35"/>
        <v>0</v>
      </c>
      <c r="I55" s="49">
        <f t="shared" si="35"/>
        <v>0</v>
      </c>
      <c r="J55" s="49">
        <f t="shared" si="35"/>
        <v>0</v>
      </c>
      <c r="K55" s="49">
        <f t="shared" si="35"/>
        <v>0</v>
      </c>
      <c r="L55" s="49">
        <f t="shared" si="35"/>
        <v>0</v>
      </c>
      <c r="M55" s="157"/>
      <c r="N55" s="39">
        <f t="shared" si="35"/>
        <v>2892900</v>
      </c>
      <c r="O55" s="39">
        <f t="shared" si="35"/>
        <v>0</v>
      </c>
      <c r="P55" s="39">
        <f t="shared" si="35"/>
        <v>2892900</v>
      </c>
      <c r="Q55" s="39">
        <f t="shared" si="35"/>
        <v>0</v>
      </c>
      <c r="R55" s="39">
        <f t="shared" si="35"/>
        <v>0</v>
      </c>
      <c r="S55" s="39">
        <f t="shared" si="35"/>
        <v>0</v>
      </c>
      <c r="T55" s="39">
        <f t="shared" si="35"/>
        <v>1052461.45</v>
      </c>
      <c r="U55" s="39">
        <f t="shared" si="35"/>
        <v>0</v>
      </c>
      <c r="V55" s="39">
        <f t="shared" si="35"/>
        <v>1052461.45</v>
      </c>
      <c r="W55" s="39">
        <f t="shared" si="35"/>
        <v>0</v>
      </c>
      <c r="X55" s="39">
        <f t="shared" si="35"/>
        <v>0</v>
      </c>
      <c r="Y55" s="39">
        <f t="shared" si="35"/>
        <v>0</v>
      </c>
      <c r="Z55" s="157">
        <f t="shared" si="12"/>
        <v>36.380844481316323</v>
      </c>
      <c r="AA55" s="39">
        <f t="shared" si="35"/>
        <v>1052461.45</v>
      </c>
      <c r="AB55" s="39">
        <f t="shared" si="34"/>
        <v>2892900</v>
      </c>
      <c r="AC55" s="205"/>
      <c r="AD55" s="40"/>
    </row>
    <row r="56" spans="1:30" s="3" customFormat="1" ht="51.75" customHeight="1" x14ac:dyDescent="0.25">
      <c r="A56" s="36"/>
      <c r="B56" s="48"/>
      <c r="C56" s="48"/>
      <c r="D56" s="38" t="s">
        <v>395</v>
      </c>
      <c r="E56" s="39">
        <f>E65+E80</f>
        <v>3536117</v>
      </c>
      <c r="F56" s="39">
        <f t="shared" ref="F56:AA56" si="36">F65+F80</f>
        <v>3536117</v>
      </c>
      <c r="G56" s="39">
        <f t="shared" si="36"/>
        <v>1176210</v>
      </c>
      <c r="H56" s="39">
        <f t="shared" si="36"/>
        <v>0</v>
      </c>
      <c r="I56" s="39">
        <f t="shared" si="36"/>
        <v>0</v>
      </c>
      <c r="J56" s="39">
        <f t="shared" si="36"/>
        <v>1001444.33</v>
      </c>
      <c r="K56" s="39">
        <f t="shared" si="36"/>
        <v>376581.07</v>
      </c>
      <c r="L56" s="39">
        <f t="shared" si="36"/>
        <v>0</v>
      </c>
      <c r="M56" s="157">
        <f t="shared" si="2"/>
        <v>28.320452349285951</v>
      </c>
      <c r="N56" s="39">
        <f t="shared" si="36"/>
        <v>0</v>
      </c>
      <c r="O56" s="39">
        <f t="shared" si="36"/>
        <v>0</v>
      </c>
      <c r="P56" s="39">
        <f t="shared" si="36"/>
        <v>0</v>
      </c>
      <c r="Q56" s="39">
        <f t="shared" si="36"/>
        <v>0</v>
      </c>
      <c r="R56" s="39">
        <f t="shared" si="36"/>
        <v>0</v>
      </c>
      <c r="S56" s="39">
        <f t="shared" si="36"/>
        <v>0</v>
      </c>
      <c r="T56" s="39">
        <f t="shared" si="36"/>
        <v>0</v>
      </c>
      <c r="U56" s="39">
        <f t="shared" si="36"/>
        <v>0</v>
      </c>
      <c r="V56" s="39">
        <f t="shared" si="36"/>
        <v>0</v>
      </c>
      <c r="W56" s="39">
        <f t="shared" si="36"/>
        <v>0</v>
      </c>
      <c r="X56" s="39">
        <f t="shared" si="36"/>
        <v>0</v>
      </c>
      <c r="Y56" s="39">
        <f t="shared" si="36"/>
        <v>0</v>
      </c>
      <c r="Z56" s="157"/>
      <c r="AA56" s="39">
        <f t="shared" si="36"/>
        <v>1001444.33</v>
      </c>
      <c r="AB56" s="39">
        <f>AB65+AB80</f>
        <v>3536117</v>
      </c>
      <c r="AC56" s="205"/>
      <c r="AD56" s="40"/>
    </row>
    <row r="57" spans="1:30" s="20" customFormat="1" ht="30.6" customHeight="1" x14ac:dyDescent="0.25">
      <c r="A57" s="36"/>
      <c r="B57" s="48"/>
      <c r="C57" s="48"/>
      <c r="D57" s="38" t="str">
        <f>D73</f>
        <v>іншої субвенції з місцевого бюджету</v>
      </c>
      <c r="E57" s="39">
        <f>E73</f>
        <v>0</v>
      </c>
      <c r="F57" s="39">
        <f t="shared" ref="F57:AA57" si="37">F73</f>
        <v>0</v>
      </c>
      <c r="G57" s="39">
        <f t="shared" si="37"/>
        <v>0</v>
      </c>
      <c r="H57" s="39">
        <f t="shared" si="37"/>
        <v>0</v>
      </c>
      <c r="I57" s="39">
        <f t="shared" si="37"/>
        <v>0</v>
      </c>
      <c r="J57" s="39">
        <f t="shared" si="37"/>
        <v>0</v>
      </c>
      <c r="K57" s="39">
        <f t="shared" si="37"/>
        <v>0</v>
      </c>
      <c r="L57" s="39">
        <f t="shared" si="37"/>
        <v>0</v>
      </c>
      <c r="M57" s="157"/>
      <c r="N57" s="39">
        <f t="shared" si="37"/>
        <v>4500000</v>
      </c>
      <c r="O57" s="39">
        <f t="shared" si="37"/>
        <v>4500000</v>
      </c>
      <c r="P57" s="39">
        <f t="shared" si="37"/>
        <v>0</v>
      </c>
      <c r="Q57" s="39">
        <f t="shared" si="37"/>
        <v>0</v>
      </c>
      <c r="R57" s="39">
        <f t="shared" si="37"/>
        <v>0</v>
      </c>
      <c r="S57" s="39">
        <f t="shared" si="37"/>
        <v>4500000</v>
      </c>
      <c r="T57" s="39">
        <f t="shared" si="37"/>
        <v>0</v>
      </c>
      <c r="U57" s="39">
        <f t="shared" si="37"/>
        <v>0</v>
      </c>
      <c r="V57" s="39">
        <f t="shared" si="37"/>
        <v>0</v>
      </c>
      <c r="W57" s="39">
        <f t="shared" si="37"/>
        <v>0</v>
      </c>
      <c r="X57" s="39">
        <f t="shared" si="37"/>
        <v>0</v>
      </c>
      <c r="Y57" s="39">
        <f t="shared" si="37"/>
        <v>0</v>
      </c>
      <c r="Z57" s="157"/>
      <c r="AA57" s="39">
        <f t="shared" si="37"/>
        <v>0</v>
      </c>
      <c r="AB57" s="39">
        <f t="shared" ref="AB57" si="38">AB73</f>
        <v>4500000</v>
      </c>
      <c r="AC57" s="205"/>
      <c r="AD57" s="40"/>
    </row>
    <row r="58" spans="1:30" s="1" customFormat="1" ht="45.75" customHeight="1" x14ac:dyDescent="0.25">
      <c r="A58" s="41" t="s">
        <v>136</v>
      </c>
      <c r="B58" s="42" t="str">
        <f>'дод 5'!A18</f>
        <v>0160</v>
      </c>
      <c r="C58" s="42" t="str">
        <f>'дод 5'!B18</f>
        <v>0111</v>
      </c>
      <c r="D58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58" s="44">
        <f t="shared" ref="E58:E103" si="39">F58+I58</f>
        <v>5997800</v>
      </c>
      <c r="F58" s="44">
        <v>5997800</v>
      </c>
      <c r="G58" s="44">
        <v>4567200</v>
      </c>
      <c r="H58" s="44">
        <v>111900</v>
      </c>
      <c r="I58" s="44"/>
      <c r="J58" s="44">
        <v>1383599.65</v>
      </c>
      <c r="K58" s="44">
        <v>1078425.77</v>
      </c>
      <c r="L58" s="44">
        <v>29608.45</v>
      </c>
      <c r="M58" s="158">
        <f t="shared" si="2"/>
        <v>23.068452599286402</v>
      </c>
      <c r="N58" s="44">
        <f>P58+S58</f>
        <v>0</v>
      </c>
      <c r="O58" s="44">
        <v>0</v>
      </c>
      <c r="P58" s="44"/>
      <c r="Q58" s="44"/>
      <c r="R58" s="44"/>
      <c r="S58" s="44">
        <v>0</v>
      </c>
      <c r="T58" s="44">
        <f t="shared" si="6"/>
        <v>0</v>
      </c>
      <c r="U58" s="44"/>
      <c r="V58" s="44"/>
      <c r="W58" s="44"/>
      <c r="X58" s="44"/>
      <c r="Y58" s="44"/>
      <c r="Z58" s="158"/>
      <c r="AA58" s="44">
        <f t="shared" si="7"/>
        <v>1383599.65</v>
      </c>
      <c r="AB58" s="44">
        <f t="shared" ref="AB58:AB103" si="40">E58+N58</f>
        <v>5997800</v>
      </c>
      <c r="AC58" s="205"/>
      <c r="AD58" s="45"/>
    </row>
    <row r="59" spans="1:30" s="1" customFormat="1" ht="21.75" customHeight="1" x14ac:dyDescent="0.25">
      <c r="A59" s="41" t="s">
        <v>137</v>
      </c>
      <c r="B59" s="42" t="str">
        <f>'дод 5'!A32</f>
        <v>1010</v>
      </c>
      <c r="C59" s="42" t="str">
        <f>'дод 5'!B32</f>
        <v>0910</v>
      </c>
      <c r="D59" s="43" t="str">
        <f>'дод 5'!C32</f>
        <v>Надання дошкільної освіти</v>
      </c>
      <c r="E59" s="44">
        <f t="shared" si="39"/>
        <v>372792900</v>
      </c>
      <c r="F59" s="44">
        <v>372792900</v>
      </c>
      <c r="G59" s="44">
        <v>253895000</v>
      </c>
      <c r="H59" s="44">
        <v>47086600</v>
      </c>
      <c r="I59" s="44"/>
      <c r="J59" s="44">
        <v>93980137.590000004</v>
      </c>
      <c r="K59" s="44">
        <v>60410343.119999997</v>
      </c>
      <c r="L59" s="44">
        <v>16025140.35</v>
      </c>
      <c r="M59" s="158">
        <f t="shared" si="2"/>
        <v>25.209744496206877</v>
      </c>
      <c r="N59" s="44">
        <f>P59+S59</f>
        <v>17052030</v>
      </c>
      <c r="O59" s="44"/>
      <c r="P59" s="44">
        <v>17052030</v>
      </c>
      <c r="Q59" s="44"/>
      <c r="R59" s="44"/>
      <c r="S59" s="44"/>
      <c r="T59" s="44">
        <f t="shared" si="6"/>
        <v>2933307.42</v>
      </c>
      <c r="U59" s="44"/>
      <c r="V59" s="44">
        <v>2933307.42</v>
      </c>
      <c r="W59" s="44">
        <v>403709.17</v>
      </c>
      <c r="X59" s="44"/>
      <c r="Y59" s="44"/>
      <c r="Z59" s="158">
        <f t="shared" si="12"/>
        <v>17.202100981525366</v>
      </c>
      <c r="AA59" s="44">
        <f t="shared" si="7"/>
        <v>96913445.010000005</v>
      </c>
      <c r="AB59" s="44">
        <f t="shared" si="40"/>
        <v>389844930</v>
      </c>
      <c r="AC59" s="205">
        <v>3</v>
      </c>
      <c r="AD59" s="45"/>
    </row>
    <row r="60" spans="1:30" s="18" customFormat="1" ht="54" customHeight="1" x14ac:dyDescent="0.25">
      <c r="A60" s="41" t="s">
        <v>298</v>
      </c>
      <c r="B60" s="41">
        <f>'дод 5'!A33</f>
        <v>1021</v>
      </c>
      <c r="C60" s="42" t="str">
        <f>'дод 5'!B33</f>
        <v>0921</v>
      </c>
      <c r="D60" s="43" t="str">
        <f>'дод 5'!C33</f>
        <v>Надання загальної середньої освіти закладами загальної середньої освіти за рахунок коштів місцевого бюджету</v>
      </c>
      <c r="E60" s="44">
        <f t="shared" si="39"/>
        <v>276296660</v>
      </c>
      <c r="F60" s="44">
        <f>275705700+120960+470000</f>
        <v>276296660</v>
      </c>
      <c r="G60" s="44">
        <v>145056200</v>
      </c>
      <c r="H60" s="44">
        <v>65222400</v>
      </c>
      <c r="I60" s="44"/>
      <c r="J60" s="44">
        <v>72123582.659999996</v>
      </c>
      <c r="K60" s="44">
        <v>36500081.5</v>
      </c>
      <c r="L60" s="44">
        <v>22943271.530000001</v>
      </c>
      <c r="M60" s="158">
        <f t="shared" si="2"/>
        <v>26.103675180148755</v>
      </c>
      <c r="N60" s="44">
        <f t="shared" ref="N60:N103" si="41">P60+S60</f>
        <v>26849410</v>
      </c>
      <c r="O60" s="44">
        <f>1000000+500000+3654000+1500000</f>
        <v>6654000</v>
      </c>
      <c r="P60" s="44">
        <v>20195410</v>
      </c>
      <c r="Q60" s="44">
        <v>2627920</v>
      </c>
      <c r="R60" s="44">
        <v>244330</v>
      </c>
      <c r="S60" s="44">
        <f>1000000+500000+3654000+1500000</f>
        <v>6654000</v>
      </c>
      <c r="T60" s="44">
        <f t="shared" si="6"/>
        <v>16566581.529999999</v>
      </c>
      <c r="U60" s="44">
        <v>19224</v>
      </c>
      <c r="V60" s="44">
        <v>12095812.289999999</v>
      </c>
      <c r="W60" s="44">
        <v>1605538.75</v>
      </c>
      <c r="X60" s="44">
        <v>933.26</v>
      </c>
      <c r="Y60" s="44">
        <v>4470769.24</v>
      </c>
      <c r="Z60" s="158">
        <f t="shared" si="12"/>
        <v>61.701845701637396</v>
      </c>
      <c r="AA60" s="44">
        <f t="shared" si="7"/>
        <v>88690164.189999998</v>
      </c>
      <c r="AB60" s="44">
        <f t="shared" si="40"/>
        <v>303146070</v>
      </c>
      <c r="AC60" s="205"/>
      <c r="AD60" s="45"/>
    </row>
    <row r="61" spans="1:30" s="1" customFormat="1" ht="80.25" customHeight="1" x14ac:dyDescent="0.25">
      <c r="A61" s="41" t="s">
        <v>299</v>
      </c>
      <c r="B61" s="42">
        <f>'дод 5'!A34</f>
        <v>1022</v>
      </c>
      <c r="C61" s="42" t="str">
        <f>'дод 5'!B34</f>
        <v>0922</v>
      </c>
      <c r="D61" s="46" t="str">
        <f>'дод 5'!C34</f>
        <v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v>
      </c>
      <c r="E61" s="44">
        <f t="shared" si="39"/>
        <v>18577200</v>
      </c>
      <c r="F61" s="44">
        <v>18577200</v>
      </c>
      <c r="G61" s="44">
        <v>11223500</v>
      </c>
      <c r="H61" s="44">
        <v>3058200</v>
      </c>
      <c r="I61" s="44"/>
      <c r="J61" s="44">
        <v>4493675.43</v>
      </c>
      <c r="K61" s="44">
        <v>2717385.12</v>
      </c>
      <c r="L61" s="44">
        <v>981313.13</v>
      </c>
      <c r="M61" s="158">
        <f t="shared" si="2"/>
        <v>24.189196595827141</v>
      </c>
      <c r="N61" s="44">
        <f t="shared" si="41"/>
        <v>0</v>
      </c>
      <c r="O61" s="44"/>
      <c r="P61" s="44"/>
      <c r="Q61" s="44"/>
      <c r="R61" s="44"/>
      <c r="S61" s="44"/>
      <c r="T61" s="44">
        <f t="shared" si="6"/>
        <v>341239.83999999997</v>
      </c>
      <c r="U61" s="44"/>
      <c r="V61" s="44">
        <v>239275.58</v>
      </c>
      <c r="W61" s="44">
        <v>75728.47</v>
      </c>
      <c r="X61" s="44"/>
      <c r="Y61" s="44">
        <v>101964.26</v>
      </c>
      <c r="Z61" s="158"/>
      <c r="AA61" s="44">
        <f t="shared" si="7"/>
        <v>4834915.2699999996</v>
      </c>
      <c r="AB61" s="44">
        <f t="shared" si="40"/>
        <v>18577200</v>
      </c>
      <c r="AC61" s="205"/>
      <c r="AD61" s="45"/>
    </row>
    <row r="62" spans="1:30" s="1" customFormat="1" ht="83.25" customHeight="1" x14ac:dyDescent="0.25">
      <c r="A62" s="41" t="s">
        <v>323</v>
      </c>
      <c r="B62" s="42">
        <f>'дод 5'!A35</f>
        <v>1025</v>
      </c>
      <c r="C62" s="42" t="str">
        <f>'дод 5'!B35</f>
        <v>0922</v>
      </c>
      <c r="D62" s="46" t="str">
        <f>'дод 5'!C35</f>
        <v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v>
      </c>
      <c r="E62" s="44">
        <f t="shared" si="39"/>
        <v>13453600</v>
      </c>
      <c r="F62" s="44">
        <v>13453600</v>
      </c>
      <c r="G62" s="44">
        <v>9459000</v>
      </c>
      <c r="H62" s="44">
        <v>1260200</v>
      </c>
      <c r="I62" s="44"/>
      <c r="J62" s="44">
        <v>3395562.2</v>
      </c>
      <c r="K62" s="44">
        <v>2337000</v>
      </c>
      <c r="L62" s="44">
        <v>420425.2</v>
      </c>
      <c r="M62" s="158">
        <f t="shared" si="2"/>
        <v>25.239060177201644</v>
      </c>
      <c r="N62" s="44">
        <f t="shared" si="41"/>
        <v>0</v>
      </c>
      <c r="O62" s="44"/>
      <c r="P62" s="44"/>
      <c r="Q62" s="44"/>
      <c r="R62" s="44"/>
      <c r="S62" s="44"/>
      <c r="T62" s="44">
        <f t="shared" si="6"/>
        <v>82288.06</v>
      </c>
      <c r="U62" s="44"/>
      <c r="V62" s="44">
        <v>82288.06</v>
      </c>
      <c r="W62" s="44"/>
      <c r="X62" s="44"/>
      <c r="Y62" s="44"/>
      <c r="Z62" s="158"/>
      <c r="AA62" s="44">
        <f t="shared" si="7"/>
        <v>3477850.2600000002</v>
      </c>
      <c r="AB62" s="44">
        <f t="shared" si="40"/>
        <v>13453600</v>
      </c>
      <c r="AC62" s="205"/>
      <c r="AD62" s="45"/>
    </row>
    <row r="63" spans="1:30" s="1" customFormat="1" ht="47.25" x14ac:dyDescent="0.25">
      <c r="A63" s="41" t="s">
        <v>394</v>
      </c>
      <c r="B63" s="42">
        <f>'дод 5'!A36</f>
        <v>1031</v>
      </c>
      <c r="C63" s="42">
        <f>'дод 5'!B36</f>
        <v>921</v>
      </c>
      <c r="D63" s="46" t="str">
        <f>'дод 5'!C36</f>
        <v>Надання загальної середньої освіти закладами загальної середньої освіти за рахунок освітньої субвенції,  у т. ч. за рахунок:</v>
      </c>
      <c r="E63" s="44">
        <f t="shared" ref="E63:E67" si="42">F63+I63</f>
        <v>311742647</v>
      </c>
      <c r="F63" s="44">
        <f>F64+F65</f>
        <v>311742647</v>
      </c>
      <c r="G63" s="44">
        <f t="shared" ref="G63:H63" si="43">G64+G65</f>
        <v>253806400</v>
      </c>
      <c r="H63" s="44">
        <f t="shared" si="43"/>
        <v>0</v>
      </c>
      <c r="I63" s="44"/>
      <c r="J63" s="44">
        <v>106419264.62</v>
      </c>
      <c r="K63" s="44">
        <v>86963442.329999998</v>
      </c>
      <c r="L63" s="44"/>
      <c r="M63" s="158">
        <f t="shared" si="2"/>
        <v>34.13689645741669</v>
      </c>
      <c r="N63" s="44">
        <f t="shared" ref="N63:N67" si="44">P63+S63</f>
        <v>0</v>
      </c>
      <c r="O63" s="44"/>
      <c r="P63" s="44"/>
      <c r="Q63" s="44"/>
      <c r="R63" s="44"/>
      <c r="S63" s="44"/>
      <c r="T63" s="44">
        <f t="shared" si="6"/>
        <v>0</v>
      </c>
      <c r="U63" s="44"/>
      <c r="V63" s="44"/>
      <c r="W63" s="44"/>
      <c r="X63" s="44"/>
      <c r="Y63" s="44"/>
      <c r="Z63" s="158"/>
      <c r="AA63" s="44">
        <f t="shared" si="7"/>
        <v>106419264.62</v>
      </c>
      <c r="AB63" s="44">
        <f t="shared" ref="AB63:AB65" si="45">E63+N63</f>
        <v>311742647</v>
      </c>
      <c r="AC63" s="205"/>
      <c r="AD63" s="45"/>
    </row>
    <row r="64" spans="1:30" s="2" customFormat="1" ht="31.5" x14ac:dyDescent="0.25">
      <c r="A64" s="50"/>
      <c r="B64" s="51"/>
      <c r="C64" s="51"/>
      <c r="D64" s="52" t="s">
        <v>402</v>
      </c>
      <c r="E64" s="53">
        <f t="shared" ref="E64" si="46">F64+I64</f>
        <v>309641500</v>
      </c>
      <c r="F64" s="53">
        <v>309641500</v>
      </c>
      <c r="G64" s="53">
        <v>253806400</v>
      </c>
      <c r="H64" s="53"/>
      <c r="I64" s="53"/>
      <c r="J64" s="53">
        <v>105878239.55</v>
      </c>
      <c r="K64" s="53">
        <v>86963442.329999998</v>
      </c>
      <c r="L64" s="53"/>
      <c r="M64" s="159">
        <f t="shared" si="2"/>
        <v>34.193814314295722</v>
      </c>
      <c r="N64" s="53">
        <f t="shared" ref="N64" si="47">P64+S64</f>
        <v>0</v>
      </c>
      <c r="O64" s="53"/>
      <c r="P64" s="53"/>
      <c r="Q64" s="53"/>
      <c r="R64" s="53"/>
      <c r="S64" s="53"/>
      <c r="T64" s="53">
        <f t="shared" si="6"/>
        <v>0</v>
      </c>
      <c r="U64" s="53"/>
      <c r="V64" s="53"/>
      <c r="W64" s="53"/>
      <c r="X64" s="53"/>
      <c r="Y64" s="53"/>
      <c r="Z64" s="159"/>
      <c r="AA64" s="53">
        <f t="shared" si="7"/>
        <v>105878239.55</v>
      </c>
      <c r="AB64" s="53">
        <f t="shared" ref="AB64" si="48">E64+N64</f>
        <v>309641500</v>
      </c>
      <c r="AC64" s="205"/>
      <c r="AD64" s="54"/>
    </row>
    <row r="65" spans="1:30" s="2" customFormat="1" ht="47.25" x14ac:dyDescent="0.25">
      <c r="A65" s="50"/>
      <c r="B65" s="51"/>
      <c r="C65" s="51"/>
      <c r="D65" s="55" t="s">
        <v>395</v>
      </c>
      <c r="E65" s="53">
        <f t="shared" si="42"/>
        <v>2101147</v>
      </c>
      <c r="F65" s="53">
        <v>2101147</v>
      </c>
      <c r="G65" s="53"/>
      <c r="H65" s="53"/>
      <c r="I65" s="53"/>
      <c r="J65" s="53">
        <v>541025.06999999995</v>
      </c>
      <c r="K65" s="53"/>
      <c r="L65" s="53"/>
      <c r="M65" s="159">
        <f t="shared" si="2"/>
        <v>25.749034693907657</v>
      </c>
      <c r="N65" s="53">
        <f t="shared" si="44"/>
        <v>0</v>
      </c>
      <c r="O65" s="53"/>
      <c r="P65" s="53"/>
      <c r="Q65" s="53"/>
      <c r="R65" s="53"/>
      <c r="S65" s="53"/>
      <c r="T65" s="53">
        <f t="shared" si="6"/>
        <v>0</v>
      </c>
      <c r="U65" s="53"/>
      <c r="V65" s="53"/>
      <c r="W65" s="53"/>
      <c r="X65" s="53"/>
      <c r="Y65" s="53"/>
      <c r="Z65" s="159"/>
      <c r="AA65" s="53">
        <f t="shared" si="7"/>
        <v>541025.06999999995</v>
      </c>
      <c r="AB65" s="53">
        <f t="shared" si="45"/>
        <v>2101147</v>
      </c>
      <c r="AC65" s="205"/>
      <c r="AD65" s="54"/>
    </row>
    <row r="66" spans="1:30" s="1" customFormat="1" ht="100.5" customHeight="1" x14ac:dyDescent="0.25">
      <c r="A66" s="41" t="s">
        <v>403</v>
      </c>
      <c r="B66" s="42" t="str">
        <f>'дод 5'!A39</f>
        <v>1032</v>
      </c>
      <c r="C66" s="42" t="str">
        <f>'дод 5'!B39</f>
        <v>0922</v>
      </c>
      <c r="D66" s="46" t="str">
        <f>'дод 5'!C39</f>
        <v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v>
      </c>
      <c r="E66" s="44">
        <f t="shared" si="42"/>
        <v>12847200</v>
      </c>
      <c r="F66" s="44">
        <f>F67</f>
        <v>12847200</v>
      </c>
      <c r="G66" s="44">
        <f t="shared" ref="G66:S66" si="49">G67</f>
        <v>10530500</v>
      </c>
      <c r="H66" s="44">
        <f t="shared" si="49"/>
        <v>0</v>
      </c>
      <c r="I66" s="44">
        <f t="shared" si="49"/>
        <v>0</v>
      </c>
      <c r="J66" s="44">
        <v>3821235.08</v>
      </c>
      <c r="K66" s="44">
        <v>3139169.65</v>
      </c>
      <c r="L66" s="44"/>
      <c r="M66" s="158">
        <f t="shared" si="2"/>
        <v>29.743719098324927</v>
      </c>
      <c r="N66" s="44">
        <f t="shared" si="49"/>
        <v>0</v>
      </c>
      <c r="O66" s="44">
        <f t="shared" si="49"/>
        <v>0</v>
      </c>
      <c r="P66" s="44">
        <f t="shared" si="49"/>
        <v>0</v>
      </c>
      <c r="Q66" s="44">
        <f t="shared" si="49"/>
        <v>0</v>
      </c>
      <c r="R66" s="44">
        <f t="shared" si="49"/>
        <v>0</v>
      </c>
      <c r="S66" s="44">
        <f t="shared" si="49"/>
        <v>0</v>
      </c>
      <c r="T66" s="44">
        <f t="shared" si="6"/>
        <v>0</v>
      </c>
      <c r="U66" s="44"/>
      <c r="V66" s="44"/>
      <c r="W66" s="44"/>
      <c r="X66" s="44"/>
      <c r="Y66" s="44"/>
      <c r="Z66" s="158"/>
      <c r="AA66" s="44">
        <f t="shared" si="7"/>
        <v>3821235.08</v>
      </c>
      <c r="AB66" s="44">
        <f t="shared" si="40"/>
        <v>12847200</v>
      </c>
      <c r="AC66" s="205"/>
      <c r="AD66" s="45"/>
    </row>
    <row r="67" spans="1:30" s="2" customFormat="1" ht="31.5" x14ac:dyDescent="0.25">
      <c r="A67" s="50"/>
      <c r="B67" s="51">
        <f>'дод 5'!A40</f>
        <v>0</v>
      </c>
      <c r="C67" s="51">
        <f>'дод 5'!B40</f>
        <v>0</v>
      </c>
      <c r="D67" s="52" t="str">
        <f>'дод 5'!C40</f>
        <v>освітньої субвенції з державного бюджету місцевим бюджетам</v>
      </c>
      <c r="E67" s="53">
        <f t="shared" si="42"/>
        <v>12847200</v>
      </c>
      <c r="F67" s="53">
        <v>12847200</v>
      </c>
      <c r="G67" s="53">
        <v>10530500</v>
      </c>
      <c r="H67" s="53"/>
      <c r="I67" s="53"/>
      <c r="J67" s="53">
        <v>3821235.08</v>
      </c>
      <c r="K67" s="53">
        <v>3139169.65</v>
      </c>
      <c r="L67" s="53"/>
      <c r="M67" s="159">
        <f t="shared" si="2"/>
        <v>29.743719098324927</v>
      </c>
      <c r="N67" s="53">
        <f t="shared" si="44"/>
        <v>0</v>
      </c>
      <c r="O67" s="53"/>
      <c r="P67" s="53"/>
      <c r="Q67" s="53"/>
      <c r="R67" s="53"/>
      <c r="S67" s="53"/>
      <c r="T67" s="53">
        <f t="shared" si="6"/>
        <v>0</v>
      </c>
      <c r="U67" s="53"/>
      <c r="V67" s="53"/>
      <c r="W67" s="53"/>
      <c r="X67" s="53"/>
      <c r="Y67" s="53"/>
      <c r="Z67" s="159"/>
      <c r="AA67" s="53">
        <f t="shared" si="7"/>
        <v>3821235.08</v>
      </c>
      <c r="AB67" s="53">
        <f t="shared" si="40"/>
        <v>12847200</v>
      </c>
      <c r="AC67" s="205"/>
      <c r="AD67" s="54"/>
    </row>
    <row r="68" spans="1:30" s="1" customFormat="1" ht="78.75" x14ac:dyDescent="0.25">
      <c r="A68" s="41" t="s">
        <v>407</v>
      </c>
      <c r="B68" s="42">
        <f>'дод 5'!A41</f>
        <v>1035</v>
      </c>
      <c r="C68" s="42" t="str">
        <f>'дод 5'!B41</f>
        <v>0922</v>
      </c>
      <c r="D68" s="46" t="str">
        <f>'дод 5'!C41</f>
        <v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v>
      </c>
      <c r="E68" s="44">
        <f t="shared" ref="E68" si="50">F68+I68</f>
        <v>1068600</v>
      </c>
      <c r="F68" s="44">
        <f>F69</f>
        <v>1068600</v>
      </c>
      <c r="G68" s="44">
        <f t="shared" ref="G68" si="51">G69</f>
        <v>875900</v>
      </c>
      <c r="H68" s="44">
        <f t="shared" ref="H68" si="52">H69</f>
        <v>0</v>
      </c>
      <c r="I68" s="44">
        <f t="shared" ref="I68" si="53">I69</f>
        <v>0</v>
      </c>
      <c r="J68" s="44">
        <v>296262.95</v>
      </c>
      <c r="K68" s="44">
        <v>245481.21</v>
      </c>
      <c r="L68" s="44"/>
      <c r="M68" s="158">
        <f t="shared" si="2"/>
        <v>27.724401085532474</v>
      </c>
      <c r="N68" s="44">
        <f t="shared" ref="N68" si="54">N69</f>
        <v>0</v>
      </c>
      <c r="O68" s="44">
        <f t="shared" ref="O68" si="55">O69</f>
        <v>0</v>
      </c>
      <c r="P68" s="44">
        <f t="shared" ref="P68" si="56">P69</f>
        <v>0</v>
      </c>
      <c r="Q68" s="44">
        <f t="shared" ref="Q68" si="57">Q69</f>
        <v>0</v>
      </c>
      <c r="R68" s="44">
        <f t="shared" ref="R68" si="58">R69</f>
        <v>0</v>
      </c>
      <c r="S68" s="44">
        <f t="shared" ref="S68" si="59">S69</f>
        <v>0</v>
      </c>
      <c r="T68" s="44">
        <f t="shared" si="6"/>
        <v>0</v>
      </c>
      <c r="U68" s="44"/>
      <c r="V68" s="44"/>
      <c r="W68" s="44"/>
      <c r="X68" s="44"/>
      <c r="Y68" s="44"/>
      <c r="Z68" s="158"/>
      <c r="AA68" s="44">
        <f t="shared" si="7"/>
        <v>296262.95</v>
      </c>
      <c r="AB68" s="44">
        <f t="shared" si="40"/>
        <v>1068600</v>
      </c>
      <c r="AC68" s="205"/>
      <c r="AD68" s="45"/>
    </row>
    <row r="69" spans="1:30" s="2" customFormat="1" ht="31.5" x14ac:dyDescent="0.25">
      <c r="A69" s="50"/>
      <c r="B69" s="51">
        <f>'дод 5'!A42</f>
        <v>0</v>
      </c>
      <c r="C69" s="51">
        <f>'дод 5'!B42</f>
        <v>0</v>
      </c>
      <c r="D69" s="52" t="str">
        <f>'дод 5'!C42</f>
        <v>освітньої субвенції з державного бюджету місцевим бюджетам</v>
      </c>
      <c r="E69" s="53">
        <f t="shared" ref="E69" si="60">F69+I69</f>
        <v>1068600</v>
      </c>
      <c r="F69" s="53">
        <v>1068600</v>
      </c>
      <c r="G69" s="53">
        <v>875900</v>
      </c>
      <c r="H69" s="53"/>
      <c r="I69" s="53"/>
      <c r="J69" s="53">
        <v>296262.95</v>
      </c>
      <c r="K69" s="53">
        <v>245481.21</v>
      </c>
      <c r="L69" s="53"/>
      <c r="M69" s="159">
        <f t="shared" si="2"/>
        <v>27.724401085532474</v>
      </c>
      <c r="N69" s="53"/>
      <c r="O69" s="53"/>
      <c r="P69" s="53"/>
      <c r="Q69" s="53"/>
      <c r="R69" s="53"/>
      <c r="S69" s="53"/>
      <c r="T69" s="53">
        <f t="shared" si="6"/>
        <v>0</v>
      </c>
      <c r="U69" s="53"/>
      <c r="V69" s="53"/>
      <c r="W69" s="53"/>
      <c r="X69" s="53"/>
      <c r="Y69" s="53"/>
      <c r="Z69" s="159"/>
      <c r="AA69" s="53">
        <f t="shared" si="7"/>
        <v>296262.95</v>
      </c>
      <c r="AB69" s="53">
        <f t="shared" si="40"/>
        <v>1068600</v>
      </c>
      <c r="AC69" s="205"/>
      <c r="AD69" s="54"/>
    </row>
    <row r="70" spans="1:30" s="1" customFormat="1" ht="42" customHeight="1" x14ac:dyDescent="0.25">
      <c r="A70" s="41" t="s">
        <v>300</v>
      </c>
      <c r="B70" s="42" t="str">
        <f>'дод 5'!A43</f>
        <v>1070</v>
      </c>
      <c r="C70" s="42" t="str">
        <f>'дод 5'!B43</f>
        <v>0960</v>
      </c>
      <c r="D70" s="46" t="str">
        <f>'дод 5'!C43</f>
        <v>Надання позашкільної освіти закладами позашкільної освіти, заходи із позашкільної роботи з дітьми</v>
      </c>
      <c r="E70" s="44">
        <f t="shared" si="39"/>
        <v>47805900</v>
      </c>
      <c r="F70" s="44">
        <v>47805900</v>
      </c>
      <c r="G70" s="44">
        <v>32550000</v>
      </c>
      <c r="H70" s="44">
        <v>7564900</v>
      </c>
      <c r="I70" s="44"/>
      <c r="J70" s="44">
        <v>12388873.140000001</v>
      </c>
      <c r="K70" s="44">
        <v>8160358.3499999996</v>
      </c>
      <c r="L70" s="44">
        <v>2371462.35</v>
      </c>
      <c r="M70" s="158">
        <f t="shared" si="2"/>
        <v>25.914945937635313</v>
      </c>
      <c r="N70" s="44">
        <f t="shared" si="41"/>
        <v>0</v>
      </c>
      <c r="O70" s="44"/>
      <c r="P70" s="44"/>
      <c r="Q70" s="44"/>
      <c r="R70" s="44"/>
      <c r="S70" s="44"/>
      <c r="T70" s="44">
        <f t="shared" si="6"/>
        <v>206094.74</v>
      </c>
      <c r="U70" s="44"/>
      <c r="V70" s="44">
        <v>206094.74</v>
      </c>
      <c r="W70" s="44">
        <v>151478.32999999999</v>
      </c>
      <c r="X70" s="44"/>
      <c r="Y70" s="44"/>
      <c r="Z70" s="158"/>
      <c r="AA70" s="44">
        <f t="shared" si="7"/>
        <v>12594967.880000001</v>
      </c>
      <c r="AB70" s="44">
        <f t="shared" si="40"/>
        <v>47805900</v>
      </c>
      <c r="AC70" s="205"/>
      <c r="AD70" s="45"/>
    </row>
    <row r="71" spans="1:30" s="18" customFormat="1" ht="66.75" customHeight="1" x14ac:dyDescent="0.25">
      <c r="A71" s="41" t="s">
        <v>332</v>
      </c>
      <c r="B71" s="42">
        <f>'дод 5'!A45</f>
        <v>1091</v>
      </c>
      <c r="C71" s="42" t="str">
        <f>'дод 5'!B45</f>
        <v>0930</v>
      </c>
      <c r="D71" s="46" t="str">
        <f>'дод 5'!C45</f>
        <v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v>
      </c>
      <c r="E71" s="44">
        <f t="shared" si="39"/>
        <v>154406700</v>
      </c>
      <c r="F71" s="44">
        <v>154406700</v>
      </c>
      <c r="G71" s="44">
        <v>80199400</v>
      </c>
      <c r="H71" s="44">
        <v>24365100</v>
      </c>
      <c r="I71" s="44"/>
      <c r="J71" s="44">
        <v>37612909.829999998</v>
      </c>
      <c r="K71" s="44">
        <v>18806511.989999998</v>
      </c>
      <c r="L71" s="44">
        <v>8089786.3399999999</v>
      </c>
      <c r="M71" s="158">
        <f t="shared" si="2"/>
        <v>24.359635838341212</v>
      </c>
      <c r="N71" s="44">
        <f>P71+S71</f>
        <v>32625160</v>
      </c>
      <c r="O71" s="44">
        <f>6210000+4500000</f>
        <v>10710000</v>
      </c>
      <c r="P71" s="44">
        <f>21915160-437000</f>
        <v>21478160</v>
      </c>
      <c r="Q71" s="44">
        <v>7258500</v>
      </c>
      <c r="R71" s="44">
        <v>6662500</v>
      </c>
      <c r="S71" s="44">
        <f>437000+6210000+4500000</f>
        <v>11147000</v>
      </c>
      <c r="T71" s="44">
        <f t="shared" si="6"/>
        <v>4232077.17</v>
      </c>
      <c r="U71" s="44"/>
      <c r="V71" s="44">
        <v>4168331.78</v>
      </c>
      <c r="W71" s="44">
        <v>963243.67</v>
      </c>
      <c r="X71" s="44">
        <v>1062620.4099999999</v>
      </c>
      <c r="Y71" s="44">
        <v>63745.39</v>
      </c>
      <c r="Z71" s="158">
        <f t="shared" si="12"/>
        <v>12.971820429386399</v>
      </c>
      <c r="AA71" s="44">
        <f t="shared" si="7"/>
        <v>41844987</v>
      </c>
      <c r="AB71" s="44">
        <f t="shared" si="40"/>
        <v>187031860</v>
      </c>
      <c r="AC71" s="205"/>
      <c r="AD71" s="45"/>
    </row>
    <row r="72" spans="1:30" s="19" customFormat="1" ht="115.35" customHeight="1" x14ac:dyDescent="0.25">
      <c r="A72" s="50"/>
      <c r="B72" s="51"/>
      <c r="C72" s="51"/>
      <c r="D72" s="52" t="str">
        <f>'дод 5'!C46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72" s="44">
        <f t="shared" si="39"/>
        <v>0</v>
      </c>
      <c r="F72" s="53"/>
      <c r="G72" s="44"/>
      <c r="H72" s="44"/>
      <c r="I72" s="44"/>
      <c r="J72" s="44"/>
      <c r="K72" s="44"/>
      <c r="L72" s="44"/>
      <c r="M72" s="158"/>
      <c r="N72" s="44">
        <f>P72+S72</f>
        <v>6210000</v>
      </c>
      <c r="O72" s="44">
        <v>6210000</v>
      </c>
      <c r="P72" s="44"/>
      <c r="Q72" s="44"/>
      <c r="R72" s="44"/>
      <c r="S72" s="44">
        <v>6210000</v>
      </c>
      <c r="T72" s="44">
        <f t="shared" si="6"/>
        <v>0</v>
      </c>
      <c r="U72" s="44"/>
      <c r="V72" s="44"/>
      <c r="W72" s="44"/>
      <c r="X72" s="44"/>
      <c r="Y72" s="44"/>
      <c r="Z72" s="158">
        <f t="shared" si="12"/>
        <v>0</v>
      </c>
      <c r="AA72" s="44">
        <f t="shared" si="7"/>
        <v>0</v>
      </c>
      <c r="AB72" s="44">
        <f t="shared" si="40"/>
        <v>6210000</v>
      </c>
      <c r="AC72" s="205"/>
      <c r="AD72" s="54"/>
    </row>
    <row r="73" spans="1:30" s="19" customFormat="1" ht="30.95" customHeight="1" x14ac:dyDescent="0.25">
      <c r="A73" s="50"/>
      <c r="B73" s="51"/>
      <c r="C73" s="51"/>
      <c r="D73" s="52" t="s">
        <v>284</v>
      </c>
      <c r="E73" s="44">
        <f t="shared" ref="E73" si="61">F73+I73</f>
        <v>0</v>
      </c>
      <c r="F73" s="53"/>
      <c r="G73" s="44"/>
      <c r="H73" s="44"/>
      <c r="I73" s="44"/>
      <c r="J73" s="44"/>
      <c r="K73" s="44"/>
      <c r="L73" s="44"/>
      <c r="M73" s="158"/>
      <c r="N73" s="44">
        <f>P73+S73</f>
        <v>4500000</v>
      </c>
      <c r="O73" s="44">
        <v>4500000</v>
      </c>
      <c r="P73" s="44"/>
      <c r="Q73" s="44"/>
      <c r="R73" s="44"/>
      <c r="S73" s="44">
        <v>4500000</v>
      </c>
      <c r="T73" s="44">
        <f t="shared" si="6"/>
        <v>0</v>
      </c>
      <c r="U73" s="44"/>
      <c r="V73" s="44"/>
      <c r="W73" s="44"/>
      <c r="X73" s="44"/>
      <c r="Y73" s="44"/>
      <c r="Z73" s="158">
        <f t="shared" si="12"/>
        <v>0</v>
      </c>
      <c r="AA73" s="44">
        <f t="shared" si="7"/>
        <v>0</v>
      </c>
      <c r="AB73" s="44">
        <f t="shared" ref="AB73" si="62">E73+N73</f>
        <v>4500000</v>
      </c>
      <c r="AC73" s="205"/>
      <c r="AD73" s="54"/>
    </row>
    <row r="74" spans="1:30" s="1" customFormat="1" ht="63" x14ac:dyDescent="0.25">
      <c r="A74" s="41" t="s">
        <v>409</v>
      </c>
      <c r="B74" s="42">
        <f>'дод 5'!A48</f>
        <v>1092</v>
      </c>
      <c r="C74" s="42" t="str">
        <f>'дод 5'!B48</f>
        <v>0930</v>
      </c>
      <c r="D74" s="46" t="str">
        <f>'дод 5'!C48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74" s="44">
        <f t="shared" si="39"/>
        <v>13420000</v>
      </c>
      <c r="F74" s="44">
        <f>F75</f>
        <v>13420000</v>
      </c>
      <c r="G74" s="44">
        <f t="shared" ref="G74" si="63">G75</f>
        <v>11000000</v>
      </c>
      <c r="H74" s="44">
        <f t="shared" ref="H74" si="64">H75</f>
        <v>0</v>
      </c>
      <c r="I74" s="44">
        <f t="shared" ref="I74" si="65">I75</f>
        <v>0</v>
      </c>
      <c r="J74" s="44">
        <v>4339545.26</v>
      </c>
      <c r="K74" s="44">
        <v>3578863.64</v>
      </c>
      <c r="L74" s="44"/>
      <c r="M74" s="158">
        <f t="shared" si="2"/>
        <v>32.336402831594633</v>
      </c>
      <c r="N74" s="44">
        <f t="shared" ref="N74" si="66">N75</f>
        <v>0</v>
      </c>
      <c r="O74" s="44">
        <f t="shared" ref="O74" si="67">O75</f>
        <v>0</v>
      </c>
      <c r="P74" s="44">
        <f t="shared" ref="P74" si="68">P75</f>
        <v>0</v>
      </c>
      <c r="Q74" s="44">
        <f t="shared" ref="Q74" si="69">Q75</f>
        <v>0</v>
      </c>
      <c r="R74" s="44">
        <f t="shared" ref="R74" si="70">R75</f>
        <v>0</v>
      </c>
      <c r="S74" s="44">
        <f t="shared" ref="S74" si="71">S75</f>
        <v>0</v>
      </c>
      <c r="T74" s="44">
        <f t="shared" si="6"/>
        <v>0</v>
      </c>
      <c r="U74" s="44"/>
      <c r="V74" s="44"/>
      <c r="W74" s="44"/>
      <c r="X74" s="44"/>
      <c r="Y74" s="44"/>
      <c r="Z74" s="158"/>
      <c r="AA74" s="44">
        <f t="shared" si="7"/>
        <v>4339545.26</v>
      </c>
      <c r="AB74" s="44">
        <f t="shared" ref="AB74" si="72">E74+N74</f>
        <v>13420000</v>
      </c>
      <c r="AC74" s="205"/>
      <c r="AD74" s="45"/>
    </row>
    <row r="75" spans="1:30" s="2" customFormat="1" ht="31.5" x14ac:dyDescent="0.25">
      <c r="A75" s="50"/>
      <c r="B75" s="51">
        <f>'дод 5'!A49</f>
        <v>0</v>
      </c>
      <c r="C75" s="51">
        <f>'дод 5'!B49</f>
        <v>0</v>
      </c>
      <c r="D75" s="52" t="str">
        <f>'дод 5'!C49</f>
        <v>освітньої субвенції з державного бюджету місцевим бюджетам</v>
      </c>
      <c r="E75" s="44">
        <f t="shared" si="39"/>
        <v>13420000</v>
      </c>
      <c r="F75" s="53">
        <v>13420000</v>
      </c>
      <c r="G75" s="44">
        <v>11000000</v>
      </c>
      <c r="H75" s="44"/>
      <c r="I75" s="44"/>
      <c r="J75" s="44">
        <v>4339545.26</v>
      </c>
      <c r="K75" s="44">
        <v>3578863.64</v>
      </c>
      <c r="L75" s="44"/>
      <c r="M75" s="158">
        <f t="shared" si="2"/>
        <v>32.336402831594633</v>
      </c>
      <c r="N75" s="44"/>
      <c r="O75" s="44"/>
      <c r="P75" s="44"/>
      <c r="Q75" s="44"/>
      <c r="R75" s="44"/>
      <c r="S75" s="44"/>
      <c r="T75" s="44">
        <f t="shared" si="6"/>
        <v>0</v>
      </c>
      <c r="U75" s="44"/>
      <c r="V75" s="44"/>
      <c r="W75" s="44"/>
      <c r="X75" s="44"/>
      <c r="Y75" s="44"/>
      <c r="Z75" s="158"/>
      <c r="AA75" s="44">
        <f t="shared" si="7"/>
        <v>4339545.26</v>
      </c>
      <c r="AB75" s="44">
        <f t="shared" si="40"/>
        <v>13420000</v>
      </c>
      <c r="AC75" s="205"/>
      <c r="AD75" s="54"/>
    </row>
    <row r="76" spans="1:30" s="1" customFormat="1" ht="34.5" customHeight="1" x14ac:dyDescent="0.25">
      <c r="A76" s="41" t="s">
        <v>301</v>
      </c>
      <c r="B76" s="42" t="str">
        <f>'дод 5'!A50</f>
        <v>1141</v>
      </c>
      <c r="C76" s="42" t="str">
        <f>'дод 5'!B50</f>
        <v>0990</v>
      </c>
      <c r="D76" s="46" t="str">
        <f>'дод 5'!C50</f>
        <v>Забезпечення діяльності інших закладів у сфері освіти</v>
      </c>
      <c r="E76" s="44">
        <f t="shared" si="39"/>
        <v>14119800</v>
      </c>
      <c r="F76" s="44">
        <v>14119800</v>
      </c>
      <c r="G76" s="44">
        <v>9824000</v>
      </c>
      <c r="H76" s="44">
        <v>1318500</v>
      </c>
      <c r="I76" s="44"/>
      <c r="J76" s="44">
        <v>3303476.37</v>
      </c>
      <c r="K76" s="44">
        <v>2333807.19</v>
      </c>
      <c r="L76" s="44">
        <v>342897.57</v>
      </c>
      <c r="M76" s="158">
        <f t="shared" si="2"/>
        <v>23.396056388900693</v>
      </c>
      <c r="N76" s="44">
        <f t="shared" si="41"/>
        <v>0</v>
      </c>
      <c r="O76" s="44"/>
      <c r="P76" s="44"/>
      <c r="Q76" s="44"/>
      <c r="R76" s="44"/>
      <c r="S76" s="44"/>
      <c r="T76" s="44">
        <f t="shared" si="6"/>
        <v>47314.14</v>
      </c>
      <c r="U76" s="44"/>
      <c r="V76" s="44">
        <v>47314.14</v>
      </c>
      <c r="W76" s="44"/>
      <c r="X76" s="44"/>
      <c r="Y76" s="44"/>
      <c r="Z76" s="158"/>
      <c r="AA76" s="44">
        <f t="shared" si="7"/>
        <v>3350790.5100000002</v>
      </c>
      <c r="AB76" s="44">
        <f t="shared" si="40"/>
        <v>14119800</v>
      </c>
      <c r="AC76" s="205"/>
      <c r="AD76" s="45"/>
    </row>
    <row r="77" spans="1:30" s="1" customFormat="1" ht="27.75" customHeight="1" x14ac:dyDescent="0.25">
      <c r="A77" s="41" t="s">
        <v>303</v>
      </c>
      <c r="B77" s="42" t="str">
        <f>'дод 5'!A51</f>
        <v>1142</v>
      </c>
      <c r="C77" s="42" t="str">
        <f>'дод 5'!B51</f>
        <v>0990</v>
      </c>
      <c r="D77" s="46" t="str">
        <f>'дод 5'!C51</f>
        <v>Інші програми та заходи у сфері освіти</v>
      </c>
      <c r="E77" s="44">
        <f t="shared" si="39"/>
        <v>134000</v>
      </c>
      <c r="F77" s="44">
        <v>134000</v>
      </c>
      <c r="G77" s="44"/>
      <c r="H77" s="44"/>
      <c r="I77" s="44"/>
      <c r="J77" s="44">
        <v>31350</v>
      </c>
      <c r="K77" s="44"/>
      <c r="L77" s="44"/>
      <c r="M77" s="158">
        <f t="shared" si="2"/>
        <v>23.3955223880597</v>
      </c>
      <c r="N77" s="44">
        <f t="shared" ref="N77" si="73">P77+S77</f>
        <v>0</v>
      </c>
      <c r="O77" s="44"/>
      <c r="P77" s="44"/>
      <c r="Q77" s="44"/>
      <c r="R77" s="44"/>
      <c r="S77" s="44"/>
      <c r="T77" s="44">
        <f t="shared" si="6"/>
        <v>0</v>
      </c>
      <c r="U77" s="44"/>
      <c r="V77" s="44"/>
      <c r="W77" s="44"/>
      <c r="X77" s="44"/>
      <c r="Y77" s="44"/>
      <c r="Z77" s="158"/>
      <c r="AA77" s="44">
        <f t="shared" si="7"/>
        <v>31350</v>
      </c>
      <c r="AB77" s="44">
        <f t="shared" ref="AB77" si="74">E77+N77</f>
        <v>134000</v>
      </c>
      <c r="AC77" s="205"/>
      <c r="AD77" s="45"/>
    </row>
    <row r="78" spans="1:30" s="1" customFormat="1" ht="35.25" customHeight="1" x14ac:dyDescent="0.25">
      <c r="A78" s="41" t="s">
        <v>305</v>
      </c>
      <c r="B78" s="42" t="str">
        <f>'дод 5'!A52</f>
        <v>1151</v>
      </c>
      <c r="C78" s="42" t="str">
        <f>'дод 5'!B52</f>
        <v>0990</v>
      </c>
      <c r="D78" s="46" t="str">
        <f>'дод 5'!C52</f>
        <v>Забезпечення діяльності інклюзивно-ресурсних центрів за рахунок коштів місцевого бюджету</v>
      </c>
      <c r="E78" s="44">
        <f t="shared" si="39"/>
        <v>173400</v>
      </c>
      <c r="F78" s="44">
        <v>173400</v>
      </c>
      <c r="G78" s="44"/>
      <c r="H78" s="44">
        <v>129400</v>
      </c>
      <c r="I78" s="44"/>
      <c r="J78" s="44">
        <v>64644.39</v>
      </c>
      <c r="K78" s="44"/>
      <c r="L78" s="44">
        <v>57872.31</v>
      </c>
      <c r="M78" s="158">
        <f t="shared" si="2"/>
        <v>37.280501730103808</v>
      </c>
      <c r="N78" s="44">
        <f t="shared" si="41"/>
        <v>0</v>
      </c>
      <c r="O78" s="44"/>
      <c r="P78" s="44"/>
      <c r="Q78" s="44"/>
      <c r="R78" s="44"/>
      <c r="S78" s="44"/>
      <c r="T78" s="44">
        <f t="shared" si="6"/>
        <v>28683.59</v>
      </c>
      <c r="U78" s="44"/>
      <c r="V78" s="44">
        <v>28683.59</v>
      </c>
      <c r="W78" s="44"/>
      <c r="X78" s="44"/>
      <c r="Y78" s="44"/>
      <c r="Z78" s="158"/>
      <c r="AA78" s="44">
        <f t="shared" si="7"/>
        <v>93327.98</v>
      </c>
      <c r="AB78" s="44">
        <f t="shared" si="40"/>
        <v>173400</v>
      </c>
      <c r="AC78" s="205"/>
      <c r="AD78" s="45"/>
    </row>
    <row r="79" spans="1:30" s="1" customFormat="1" ht="47.25" x14ac:dyDescent="0.25">
      <c r="A79" s="41" t="s">
        <v>401</v>
      </c>
      <c r="B79" s="42" t="str">
        <f>'дод 5'!A53</f>
        <v>1152</v>
      </c>
      <c r="C79" s="42" t="str">
        <f>'дод 5'!B53</f>
        <v>0990</v>
      </c>
      <c r="D79" s="46" t="str">
        <f>'дод 5'!C53</f>
        <v>Забезпечення діяльності інклюзивно-ресурсних центрів за рахунок освітньої субвенції, у т. ч. за рахунок:</v>
      </c>
      <c r="E79" s="44">
        <f t="shared" ref="E79:E80" si="75">F79+I79</f>
        <v>1434970</v>
      </c>
      <c r="F79" s="44">
        <v>1434970</v>
      </c>
      <c r="G79" s="44">
        <v>1176210</v>
      </c>
      <c r="H79" s="44"/>
      <c r="I79" s="44"/>
      <c r="J79" s="44">
        <v>460419.26</v>
      </c>
      <c r="K79" s="44">
        <v>376581.07</v>
      </c>
      <c r="L79" s="44"/>
      <c r="M79" s="158">
        <f t="shared" si="2"/>
        <v>32.085636633518469</v>
      </c>
      <c r="N79" s="44">
        <f t="shared" ref="N79:N80" si="76">P79+S79</f>
        <v>0</v>
      </c>
      <c r="O79" s="44"/>
      <c r="P79" s="44"/>
      <c r="Q79" s="44"/>
      <c r="R79" s="44"/>
      <c r="S79" s="44"/>
      <c r="T79" s="44">
        <f t="shared" si="6"/>
        <v>0</v>
      </c>
      <c r="U79" s="44"/>
      <c r="V79" s="44"/>
      <c r="W79" s="44"/>
      <c r="X79" s="44"/>
      <c r="Y79" s="44"/>
      <c r="Z79" s="158"/>
      <c r="AA79" s="44">
        <f t="shared" si="7"/>
        <v>460419.26</v>
      </c>
      <c r="AB79" s="44">
        <f t="shared" ref="AB79:AB80" si="77">E79+N79</f>
        <v>1434970</v>
      </c>
      <c r="AC79" s="205"/>
      <c r="AD79" s="45"/>
    </row>
    <row r="80" spans="1:30" s="2" customFormat="1" ht="47.25" x14ac:dyDescent="0.25">
      <c r="A80" s="50"/>
      <c r="B80" s="51"/>
      <c r="C80" s="51"/>
      <c r="D80" s="52" t="str">
        <f>'дод 5'!C54</f>
        <v>субвенції з місцевого бюджету на здійснення переданих видатків у сфері освіти за рахунок коштів освітньої субвенції</v>
      </c>
      <c r="E80" s="53">
        <f t="shared" si="75"/>
        <v>1434970</v>
      </c>
      <c r="F80" s="53">
        <v>1434970</v>
      </c>
      <c r="G80" s="53">
        <v>1176210</v>
      </c>
      <c r="H80" s="53"/>
      <c r="I80" s="53"/>
      <c r="J80" s="53">
        <v>460419.26</v>
      </c>
      <c r="K80" s="53">
        <v>376581.07</v>
      </c>
      <c r="L80" s="53"/>
      <c r="M80" s="159">
        <f t="shared" si="2"/>
        <v>32.085636633518469</v>
      </c>
      <c r="N80" s="53">
        <f t="shared" si="76"/>
        <v>0</v>
      </c>
      <c r="O80" s="53"/>
      <c r="P80" s="53"/>
      <c r="Q80" s="53"/>
      <c r="R80" s="53"/>
      <c r="S80" s="53"/>
      <c r="T80" s="53">
        <f t="shared" si="6"/>
        <v>0</v>
      </c>
      <c r="U80" s="53"/>
      <c r="V80" s="53"/>
      <c r="W80" s="53"/>
      <c r="X80" s="53"/>
      <c r="Y80" s="53"/>
      <c r="Z80" s="159"/>
      <c r="AA80" s="53">
        <f t="shared" si="7"/>
        <v>460419.26</v>
      </c>
      <c r="AB80" s="53">
        <f t="shared" si="77"/>
        <v>1434970</v>
      </c>
      <c r="AC80" s="205">
        <v>4</v>
      </c>
      <c r="AD80" s="54"/>
    </row>
    <row r="81" spans="1:30" s="1" customFormat="1" ht="36" customHeight="1" x14ac:dyDescent="0.25">
      <c r="A81" s="41" t="s">
        <v>308</v>
      </c>
      <c r="B81" s="42" t="str">
        <f>'дод 5'!A55</f>
        <v>1160</v>
      </c>
      <c r="C81" s="42" t="str">
        <f>'дод 5'!B55</f>
        <v>0990</v>
      </c>
      <c r="D81" s="46" t="str">
        <f>'дод 5'!C55</f>
        <v>Забезпечення діяльності центрів професійного розвитку педагогічних працівників</v>
      </c>
      <c r="E81" s="44">
        <f t="shared" si="39"/>
        <v>3763400</v>
      </c>
      <c r="F81" s="44">
        <v>3763400</v>
      </c>
      <c r="G81" s="44">
        <v>2713000</v>
      </c>
      <c r="H81" s="44">
        <v>315500</v>
      </c>
      <c r="I81" s="44"/>
      <c r="J81" s="44">
        <v>780291.78</v>
      </c>
      <c r="K81" s="44">
        <v>562057.80000000005</v>
      </c>
      <c r="L81" s="44">
        <v>91536.320000000007</v>
      </c>
      <c r="M81" s="158">
        <f t="shared" si="2"/>
        <v>20.733692405803264</v>
      </c>
      <c r="N81" s="44">
        <f t="shared" si="41"/>
        <v>0</v>
      </c>
      <c r="O81" s="44"/>
      <c r="P81" s="44"/>
      <c r="Q81" s="44"/>
      <c r="R81" s="44"/>
      <c r="S81" s="44"/>
      <c r="T81" s="44">
        <f t="shared" si="6"/>
        <v>58760</v>
      </c>
      <c r="U81" s="44"/>
      <c r="V81" s="44">
        <v>33390</v>
      </c>
      <c r="W81" s="44"/>
      <c r="X81" s="44"/>
      <c r="Y81" s="44">
        <v>25370</v>
      </c>
      <c r="Z81" s="158"/>
      <c r="AA81" s="44">
        <f t="shared" si="7"/>
        <v>839051.78</v>
      </c>
      <c r="AB81" s="44">
        <f t="shared" si="40"/>
        <v>3763400</v>
      </c>
      <c r="AC81" s="205"/>
      <c r="AD81" s="45"/>
    </row>
    <row r="82" spans="1:30" s="18" customFormat="1" ht="86.45" customHeight="1" x14ac:dyDescent="0.25">
      <c r="A82" s="41" t="s">
        <v>423</v>
      </c>
      <c r="B82" s="42" t="str">
        <f>'дод 5'!A56</f>
        <v>1183</v>
      </c>
      <c r="C82" s="42" t="str">
        <f>'дод 5'!B56</f>
        <v>0990</v>
      </c>
      <c r="D82" s="46" t="str">
        <f>'дод 5'!C56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v>
      </c>
      <c r="E82" s="44">
        <f t="shared" si="39"/>
        <v>1125107</v>
      </c>
      <c r="F82" s="44">
        <v>1125107</v>
      </c>
      <c r="G82" s="44"/>
      <c r="H82" s="44"/>
      <c r="I82" s="44"/>
      <c r="J82" s="44"/>
      <c r="K82" s="44"/>
      <c r="L82" s="44"/>
      <c r="M82" s="158">
        <f t="shared" si="2"/>
        <v>0</v>
      </c>
      <c r="N82" s="44">
        <f t="shared" si="41"/>
        <v>3290393</v>
      </c>
      <c r="O82" s="44">
        <f>4415500-1125107</f>
        <v>3290393</v>
      </c>
      <c r="P82" s="44"/>
      <c r="Q82" s="44"/>
      <c r="R82" s="44"/>
      <c r="S82" s="44">
        <f>4415500-1125107</f>
        <v>3290393</v>
      </c>
      <c r="T82" s="44">
        <f t="shared" si="6"/>
        <v>0</v>
      </c>
      <c r="U82" s="44"/>
      <c r="V82" s="44"/>
      <c r="W82" s="44"/>
      <c r="X82" s="44"/>
      <c r="Y82" s="44"/>
      <c r="Z82" s="158"/>
      <c r="AA82" s="44">
        <f t="shared" si="7"/>
        <v>0</v>
      </c>
      <c r="AB82" s="44">
        <f t="shared" si="40"/>
        <v>4415500</v>
      </c>
      <c r="AC82" s="205"/>
      <c r="AD82" s="45"/>
    </row>
    <row r="83" spans="1:30" s="18" customFormat="1" ht="82.5" customHeight="1" x14ac:dyDescent="0.25">
      <c r="A83" s="41" t="s">
        <v>429</v>
      </c>
      <c r="B83" s="42" t="str">
        <f>'дод 5'!A57</f>
        <v>1184</v>
      </c>
      <c r="C83" s="42" t="str">
        <f>'дод 5'!B57</f>
        <v>0990</v>
      </c>
      <c r="D83" s="46" t="str">
        <f>'дод 5'!C57</f>
        <v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v>
      </c>
      <c r="E83" s="44">
        <f t="shared" si="39"/>
        <v>2625231</v>
      </c>
      <c r="F83" s="44">
        <v>2625231</v>
      </c>
      <c r="G83" s="44"/>
      <c r="H83" s="44"/>
      <c r="I83" s="44"/>
      <c r="J83" s="44"/>
      <c r="K83" s="44"/>
      <c r="L83" s="44"/>
      <c r="M83" s="158">
        <f t="shared" ref="M83:M146" si="78">J83/E83*100</f>
        <v>0</v>
      </c>
      <c r="N83" s="44">
        <f t="shared" si="41"/>
        <v>7677569</v>
      </c>
      <c r="O83" s="44">
        <f>10302800-2625231</f>
        <v>7677569</v>
      </c>
      <c r="P83" s="44"/>
      <c r="Q83" s="44"/>
      <c r="R83" s="44"/>
      <c r="S83" s="44">
        <f>10302800-2625231</f>
        <v>7677569</v>
      </c>
      <c r="T83" s="44">
        <f t="shared" ref="T83:T146" si="79">V83+Y83</f>
        <v>0</v>
      </c>
      <c r="U83" s="44"/>
      <c r="V83" s="44"/>
      <c r="W83" s="44"/>
      <c r="X83" s="44"/>
      <c r="Y83" s="44"/>
      <c r="Z83" s="158">
        <f t="shared" ref="Z83:Z114" si="80">T83/N83*100</f>
        <v>0</v>
      </c>
      <c r="AA83" s="44">
        <f t="shared" ref="AA83:AA146" si="81">T83+J83</f>
        <v>0</v>
      </c>
      <c r="AB83" s="44">
        <f t="shared" si="40"/>
        <v>10302800</v>
      </c>
      <c r="AC83" s="205"/>
      <c r="AD83" s="45"/>
    </row>
    <row r="84" spans="1:30" s="19" customFormat="1" ht="78.599999999999994" customHeight="1" x14ac:dyDescent="0.25">
      <c r="A84" s="50"/>
      <c r="B84" s="51"/>
      <c r="C84" s="51"/>
      <c r="D84" s="52" t="str">
        <f>'дод 5'!C58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84" s="44">
        <f t="shared" si="39"/>
        <v>2625231</v>
      </c>
      <c r="F84" s="53">
        <v>2625231</v>
      </c>
      <c r="G84" s="44"/>
      <c r="H84" s="44"/>
      <c r="I84" s="44"/>
      <c r="J84" s="44"/>
      <c r="K84" s="44"/>
      <c r="L84" s="44"/>
      <c r="M84" s="158">
        <f t="shared" si="78"/>
        <v>0</v>
      </c>
      <c r="N84" s="44">
        <f t="shared" si="41"/>
        <v>7677569</v>
      </c>
      <c r="O84" s="44">
        <f>10302800-2625231</f>
        <v>7677569</v>
      </c>
      <c r="P84" s="44"/>
      <c r="Q84" s="44"/>
      <c r="R84" s="44"/>
      <c r="S84" s="44">
        <f>10302800-2625231</f>
        <v>7677569</v>
      </c>
      <c r="T84" s="44">
        <f t="shared" si="79"/>
        <v>0</v>
      </c>
      <c r="U84" s="44"/>
      <c r="V84" s="44"/>
      <c r="W84" s="44"/>
      <c r="X84" s="44"/>
      <c r="Y84" s="44"/>
      <c r="Z84" s="158">
        <f t="shared" si="80"/>
        <v>0</v>
      </c>
      <c r="AA84" s="44">
        <f t="shared" si="81"/>
        <v>0</v>
      </c>
      <c r="AB84" s="53">
        <f t="shared" si="40"/>
        <v>10302800</v>
      </c>
      <c r="AC84" s="205"/>
      <c r="AD84" s="54"/>
    </row>
    <row r="85" spans="1:30" s="18" customFormat="1" ht="78.599999999999994" customHeight="1" x14ac:dyDescent="0.25">
      <c r="A85" s="41" t="s">
        <v>430</v>
      </c>
      <c r="B85" s="42" t="str">
        <f>'дод 5'!A59</f>
        <v>1200</v>
      </c>
      <c r="C85" s="42" t="str">
        <f>'дод 5'!B59</f>
        <v>0990</v>
      </c>
      <c r="D85" s="46" t="str">
        <f>'дод 5'!C59</f>
        <v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v>
      </c>
      <c r="E85" s="44">
        <f t="shared" si="39"/>
        <v>891200</v>
      </c>
      <c r="F85" s="44">
        <v>891200</v>
      </c>
      <c r="G85" s="44">
        <v>730490</v>
      </c>
      <c r="H85" s="44"/>
      <c r="I85" s="44"/>
      <c r="J85" s="44">
        <v>255893.98</v>
      </c>
      <c r="K85" s="44">
        <v>209749.24</v>
      </c>
      <c r="L85" s="44"/>
      <c r="M85" s="158">
        <f t="shared" si="78"/>
        <v>28.713417863554756</v>
      </c>
      <c r="N85" s="44">
        <f t="shared" si="41"/>
        <v>0</v>
      </c>
      <c r="O85" s="44"/>
      <c r="P85" s="44"/>
      <c r="Q85" s="44"/>
      <c r="R85" s="44"/>
      <c r="S85" s="44"/>
      <c r="T85" s="44">
        <f t="shared" si="79"/>
        <v>0</v>
      </c>
      <c r="U85" s="44"/>
      <c r="V85" s="44"/>
      <c r="W85" s="44"/>
      <c r="X85" s="44"/>
      <c r="Y85" s="44"/>
      <c r="Z85" s="158"/>
      <c r="AA85" s="44">
        <f t="shared" si="81"/>
        <v>255893.98</v>
      </c>
      <c r="AB85" s="44">
        <f t="shared" si="40"/>
        <v>891200</v>
      </c>
      <c r="AC85" s="205"/>
      <c r="AD85" s="45"/>
    </row>
    <row r="86" spans="1:30" s="19" customFormat="1" ht="60.75" customHeight="1" x14ac:dyDescent="0.25">
      <c r="A86" s="50"/>
      <c r="B86" s="51">
        <f>'дод 5'!A60</f>
        <v>0</v>
      </c>
      <c r="C86" s="51">
        <f>'дод 5'!B60</f>
        <v>0</v>
      </c>
      <c r="D86" s="52" t="str">
        <f>'дод 5'!C60</f>
        <v>субвенції з державного бюджету місцевим бюджетам на надання державної пітримки особам з особливими освітніми потребами</v>
      </c>
      <c r="E86" s="53">
        <f t="shared" si="39"/>
        <v>891200</v>
      </c>
      <c r="F86" s="53">
        <v>891200</v>
      </c>
      <c r="G86" s="53">
        <v>730490</v>
      </c>
      <c r="H86" s="53"/>
      <c r="I86" s="53"/>
      <c r="J86" s="53">
        <v>255893.98</v>
      </c>
      <c r="K86" s="53">
        <v>209749.24</v>
      </c>
      <c r="L86" s="53"/>
      <c r="M86" s="159">
        <f t="shared" si="78"/>
        <v>28.713417863554756</v>
      </c>
      <c r="N86" s="53">
        <f t="shared" si="41"/>
        <v>0</v>
      </c>
      <c r="O86" s="53"/>
      <c r="P86" s="53"/>
      <c r="Q86" s="53"/>
      <c r="R86" s="53"/>
      <c r="S86" s="53"/>
      <c r="T86" s="53">
        <f t="shared" si="79"/>
        <v>0</v>
      </c>
      <c r="U86" s="53"/>
      <c r="V86" s="53"/>
      <c r="W86" s="53"/>
      <c r="X86" s="53"/>
      <c r="Y86" s="53"/>
      <c r="Z86" s="159"/>
      <c r="AA86" s="53">
        <f t="shared" si="81"/>
        <v>255893.98</v>
      </c>
      <c r="AB86" s="53">
        <f t="shared" si="40"/>
        <v>891200</v>
      </c>
      <c r="AC86" s="205"/>
      <c r="AD86" s="54"/>
    </row>
    <row r="87" spans="1:30" s="18" customFormat="1" ht="157.5" customHeight="1" x14ac:dyDescent="0.25">
      <c r="A87" s="41" t="s">
        <v>452</v>
      </c>
      <c r="B87" s="42" t="str">
        <f>'дод 5'!A61</f>
        <v>1241</v>
      </c>
      <c r="C87" s="42" t="str">
        <f>'дод 5'!B61</f>
        <v>0990</v>
      </c>
      <c r="D87" s="46" t="str">
        <f>'дод 5'!C61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v>
      </c>
      <c r="E87" s="53">
        <f t="shared" si="39"/>
        <v>0</v>
      </c>
      <c r="F87" s="44"/>
      <c r="G87" s="53"/>
      <c r="H87" s="53"/>
      <c r="I87" s="53"/>
      <c r="J87" s="53"/>
      <c r="K87" s="53"/>
      <c r="L87" s="53"/>
      <c r="M87" s="159"/>
      <c r="N87" s="53">
        <f t="shared" si="41"/>
        <v>6615904</v>
      </c>
      <c r="O87" s="53">
        <v>6615904</v>
      </c>
      <c r="P87" s="53"/>
      <c r="Q87" s="53"/>
      <c r="R87" s="53"/>
      <c r="S87" s="53">
        <v>6615904</v>
      </c>
      <c r="T87" s="53">
        <f t="shared" si="79"/>
        <v>0</v>
      </c>
      <c r="U87" s="53"/>
      <c r="V87" s="53"/>
      <c r="W87" s="53"/>
      <c r="X87" s="53"/>
      <c r="Y87" s="53"/>
      <c r="Z87" s="159">
        <f t="shared" si="80"/>
        <v>0</v>
      </c>
      <c r="AA87" s="53">
        <f t="shared" si="81"/>
        <v>0</v>
      </c>
      <c r="AB87" s="44">
        <f t="shared" si="40"/>
        <v>6615904</v>
      </c>
      <c r="AC87" s="205"/>
      <c r="AD87" s="45"/>
    </row>
    <row r="88" spans="1:30" s="18" customFormat="1" ht="131.25" customHeight="1" x14ac:dyDescent="0.25">
      <c r="A88" s="41" t="s">
        <v>488</v>
      </c>
      <c r="B88" s="42" t="str">
        <f>'дод 5'!A62</f>
        <v>1242</v>
      </c>
      <c r="C88" s="42" t="str">
        <f>'дод 5'!B62</f>
        <v>0990</v>
      </c>
      <c r="D88" s="46" t="str">
        <f>'дод 5'!C62</f>
        <v>Виконання заходів щодо реалізації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підготовкою, за рахунок субвенції з державного бюджету місцевим бюджетам, у т.ч. за рахунок:</v>
      </c>
      <c r="E88" s="44">
        <f t="shared" ref="E88:E89" si="82">F88+I88</f>
        <v>0</v>
      </c>
      <c r="F88" s="44"/>
      <c r="G88" s="44"/>
      <c r="H88" s="44"/>
      <c r="I88" s="44"/>
      <c r="J88" s="44"/>
      <c r="K88" s="44"/>
      <c r="L88" s="44"/>
      <c r="M88" s="158"/>
      <c r="N88" s="44">
        <f t="shared" ref="N88:N89" si="83">P88+S88</f>
        <v>15081700</v>
      </c>
      <c r="O88" s="44"/>
      <c r="P88" s="44"/>
      <c r="Q88" s="44"/>
      <c r="R88" s="44"/>
      <c r="S88" s="44">
        <v>15081700</v>
      </c>
      <c r="T88" s="44">
        <f t="shared" si="79"/>
        <v>0</v>
      </c>
      <c r="U88" s="44"/>
      <c r="V88" s="44"/>
      <c r="W88" s="44"/>
      <c r="X88" s="44"/>
      <c r="Y88" s="44"/>
      <c r="Z88" s="158">
        <f t="shared" si="80"/>
        <v>0</v>
      </c>
      <c r="AA88" s="44">
        <f t="shared" si="81"/>
        <v>0</v>
      </c>
      <c r="AB88" s="44">
        <f t="shared" ref="AB88:AB89" si="84">E88+N88</f>
        <v>15081700</v>
      </c>
      <c r="AC88" s="205"/>
      <c r="AD88" s="45"/>
    </row>
    <row r="89" spans="1:30" s="18" customFormat="1" ht="42.75" customHeight="1" x14ac:dyDescent="0.25">
      <c r="A89" s="41"/>
      <c r="B89" s="42">
        <f>'дод 5'!A63</f>
        <v>0</v>
      </c>
      <c r="C89" s="42">
        <f>'дод 5'!B63</f>
        <v>0</v>
      </c>
      <c r="D89" s="52" t="str">
        <f>'дод 5'!C63</f>
        <v>освітньої субвенції з державного бюджету місцевим бюджетам</v>
      </c>
      <c r="E89" s="53">
        <f t="shared" si="82"/>
        <v>0</v>
      </c>
      <c r="F89" s="53"/>
      <c r="G89" s="53"/>
      <c r="H89" s="53"/>
      <c r="I89" s="53"/>
      <c r="J89" s="53"/>
      <c r="K89" s="53"/>
      <c r="L89" s="53"/>
      <c r="M89" s="159"/>
      <c r="N89" s="53">
        <f t="shared" si="83"/>
        <v>15081700</v>
      </c>
      <c r="O89" s="53"/>
      <c r="P89" s="53"/>
      <c r="Q89" s="53"/>
      <c r="R89" s="53"/>
      <c r="S89" s="53">
        <v>15081700</v>
      </c>
      <c r="T89" s="53">
        <f t="shared" si="79"/>
        <v>0</v>
      </c>
      <c r="U89" s="53"/>
      <c r="V89" s="53"/>
      <c r="W89" s="53"/>
      <c r="X89" s="53"/>
      <c r="Y89" s="53"/>
      <c r="Z89" s="159">
        <f t="shared" si="80"/>
        <v>0</v>
      </c>
      <c r="AA89" s="53">
        <f t="shared" si="81"/>
        <v>0</v>
      </c>
      <c r="AB89" s="53">
        <f t="shared" si="84"/>
        <v>15081700</v>
      </c>
      <c r="AC89" s="205"/>
      <c r="AD89" s="45"/>
    </row>
    <row r="90" spans="1:30" s="99" customFormat="1" ht="33.75" customHeight="1" x14ac:dyDescent="0.25">
      <c r="A90" s="41" t="s">
        <v>464</v>
      </c>
      <c r="B90" s="42" t="str">
        <f>'дод 5'!A67</f>
        <v>1300</v>
      </c>
      <c r="C90" s="42" t="str">
        <f>'дод 5'!B67</f>
        <v>0990</v>
      </c>
      <c r="D90" s="46" t="s">
        <v>471</v>
      </c>
      <c r="E90" s="53">
        <f t="shared" si="39"/>
        <v>0</v>
      </c>
      <c r="F90" s="44"/>
      <c r="G90" s="53"/>
      <c r="H90" s="53"/>
      <c r="I90" s="53"/>
      <c r="J90" s="53"/>
      <c r="K90" s="53"/>
      <c r="L90" s="53"/>
      <c r="M90" s="159"/>
      <c r="N90" s="53">
        <f t="shared" si="41"/>
        <v>29713973.670000002</v>
      </c>
      <c r="O90" s="53">
        <f>29463973.67+250000</f>
        <v>29713973.670000002</v>
      </c>
      <c r="P90" s="53"/>
      <c r="Q90" s="53"/>
      <c r="R90" s="53"/>
      <c r="S90" s="53">
        <f>29463973.67+250000</f>
        <v>29713973.670000002</v>
      </c>
      <c r="T90" s="53">
        <f t="shared" si="79"/>
        <v>4618853.38</v>
      </c>
      <c r="U90" s="53">
        <v>4618853.38</v>
      </c>
      <c r="V90" s="53"/>
      <c r="W90" s="53"/>
      <c r="X90" s="53"/>
      <c r="Y90" s="53">
        <v>4618853.38</v>
      </c>
      <c r="Z90" s="159">
        <f t="shared" si="80"/>
        <v>15.544381344940458</v>
      </c>
      <c r="AA90" s="53">
        <f t="shared" si="81"/>
        <v>4618853.38</v>
      </c>
      <c r="AB90" s="44">
        <f t="shared" si="40"/>
        <v>29713973.670000002</v>
      </c>
      <c r="AC90" s="205"/>
      <c r="AD90" s="45"/>
    </row>
    <row r="91" spans="1:30" s="100" customFormat="1" ht="141.75" x14ac:dyDescent="0.25">
      <c r="A91" s="50"/>
      <c r="B91" s="51"/>
      <c r="C91" s="51"/>
      <c r="D91" s="52" t="s">
        <v>448</v>
      </c>
      <c r="E91" s="53">
        <f t="shared" si="39"/>
        <v>0</v>
      </c>
      <c r="F91" s="53"/>
      <c r="G91" s="53"/>
      <c r="H91" s="53"/>
      <c r="I91" s="53"/>
      <c r="J91" s="53"/>
      <c r="K91" s="53"/>
      <c r="L91" s="53"/>
      <c r="M91" s="159"/>
      <c r="N91" s="53">
        <f t="shared" si="41"/>
        <v>29463973.670000002</v>
      </c>
      <c r="O91" s="53">
        <v>29463973.670000002</v>
      </c>
      <c r="P91" s="53"/>
      <c r="Q91" s="53"/>
      <c r="R91" s="53"/>
      <c r="S91" s="53">
        <v>29463973.670000002</v>
      </c>
      <c r="T91" s="53">
        <f t="shared" si="79"/>
        <v>4618853.38</v>
      </c>
      <c r="U91" s="53">
        <v>4618853.38</v>
      </c>
      <c r="V91" s="53"/>
      <c r="W91" s="53"/>
      <c r="X91" s="53"/>
      <c r="Y91" s="53">
        <v>4618853.38</v>
      </c>
      <c r="Z91" s="159">
        <f t="shared" si="80"/>
        <v>15.676274462269433</v>
      </c>
      <c r="AA91" s="53">
        <f t="shared" si="81"/>
        <v>4618853.38</v>
      </c>
      <c r="AB91" s="53">
        <f t="shared" si="40"/>
        <v>29463973.670000002</v>
      </c>
      <c r="AC91" s="205"/>
      <c r="AD91" s="54"/>
    </row>
    <row r="92" spans="1:30" s="45" customFormat="1" ht="60.75" customHeight="1" x14ac:dyDescent="0.25">
      <c r="A92" s="41" t="s">
        <v>440</v>
      </c>
      <c r="B92" s="42" t="str">
        <f>'дод 5'!A69</f>
        <v>1403</v>
      </c>
      <c r="C92" s="42" t="str">
        <f>'дод 5'!B69</f>
        <v>0990</v>
      </c>
      <c r="D92" s="46" t="str">
        <f>'дод 5'!C69</f>
        <v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v>
      </c>
      <c r="E92" s="44">
        <f t="shared" ref="E92:E93" si="85">F92+I92</f>
        <v>0</v>
      </c>
      <c r="F92" s="44"/>
      <c r="G92" s="44"/>
      <c r="H92" s="44"/>
      <c r="I92" s="44"/>
      <c r="J92" s="44"/>
      <c r="K92" s="44"/>
      <c r="L92" s="44"/>
      <c r="M92" s="158"/>
      <c r="N92" s="44">
        <f t="shared" ref="N92:N93" si="86">P92+S92</f>
        <v>22533600</v>
      </c>
      <c r="O92" s="44"/>
      <c r="P92" s="44">
        <v>22533600</v>
      </c>
      <c r="Q92" s="44"/>
      <c r="R92" s="44"/>
      <c r="S92" s="44"/>
      <c r="T92" s="44">
        <f t="shared" si="79"/>
        <v>2409535.29</v>
      </c>
      <c r="U92" s="44"/>
      <c r="V92" s="44">
        <v>2409535.29</v>
      </c>
      <c r="W92" s="44"/>
      <c r="X92" s="44"/>
      <c r="Y92" s="44"/>
      <c r="Z92" s="158">
        <f t="shared" si="80"/>
        <v>10.693077404409415</v>
      </c>
      <c r="AA92" s="44">
        <f t="shared" si="81"/>
        <v>2409535.29</v>
      </c>
      <c r="AB92" s="44">
        <f t="shared" ref="AB92:AB93" si="87">E92+N92</f>
        <v>22533600</v>
      </c>
      <c r="AC92" s="205"/>
    </row>
    <row r="93" spans="1:30" s="54" customFormat="1" ht="60.75" customHeight="1" x14ac:dyDescent="0.25">
      <c r="A93" s="50"/>
      <c r="B93" s="51">
        <f>'дод 5'!A70</f>
        <v>0</v>
      </c>
      <c r="C93" s="51">
        <f>'дод 5'!B70</f>
        <v>0</v>
      </c>
      <c r="D93" s="52" t="str">
        <f>'дод 5'!C70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93" s="53">
        <f t="shared" si="85"/>
        <v>0</v>
      </c>
      <c r="F93" s="53"/>
      <c r="G93" s="53"/>
      <c r="H93" s="53"/>
      <c r="I93" s="53"/>
      <c r="J93" s="53"/>
      <c r="K93" s="53"/>
      <c r="L93" s="53"/>
      <c r="M93" s="159"/>
      <c r="N93" s="53">
        <f t="shared" si="86"/>
        <v>22533600</v>
      </c>
      <c r="O93" s="53"/>
      <c r="P93" s="53">
        <v>22533600</v>
      </c>
      <c r="Q93" s="53"/>
      <c r="R93" s="53"/>
      <c r="S93" s="53"/>
      <c r="T93" s="53">
        <f t="shared" si="79"/>
        <v>2409535.29</v>
      </c>
      <c r="U93" s="53"/>
      <c r="V93" s="53">
        <v>2409535.29</v>
      </c>
      <c r="W93" s="53"/>
      <c r="X93" s="53"/>
      <c r="Y93" s="53"/>
      <c r="Z93" s="159">
        <f t="shared" si="80"/>
        <v>10.693077404409415</v>
      </c>
      <c r="AA93" s="53">
        <f t="shared" si="81"/>
        <v>2409535.29</v>
      </c>
      <c r="AB93" s="53">
        <f t="shared" si="87"/>
        <v>22533600</v>
      </c>
      <c r="AC93" s="205"/>
    </row>
    <row r="94" spans="1:30" s="18" customFormat="1" ht="54.6" customHeight="1" x14ac:dyDescent="0.25">
      <c r="A94" s="41" t="s">
        <v>437</v>
      </c>
      <c r="B94" s="42" t="str">
        <f>'дод 5'!A71</f>
        <v>1600</v>
      </c>
      <c r="C94" s="42" t="str">
        <f>'дод 5'!B71</f>
        <v>0990</v>
      </c>
      <c r="D94" s="46" t="str">
        <f>'дод 5'!C71</f>
        <v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v>
      </c>
      <c r="E94" s="44">
        <f t="shared" si="39"/>
        <v>24742100</v>
      </c>
      <c r="F94" s="44">
        <v>24742100</v>
      </c>
      <c r="G94" s="44">
        <v>20280410</v>
      </c>
      <c r="H94" s="44"/>
      <c r="I94" s="44"/>
      <c r="J94" s="44">
        <v>11741598.029999999</v>
      </c>
      <c r="K94" s="44">
        <v>9662411.7799999993</v>
      </c>
      <c r="L94" s="44"/>
      <c r="M94" s="158">
        <f t="shared" si="78"/>
        <v>47.455947676227964</v>
      </c>
      <c r="N94" s="44">
        <f t="shared" si="41"/>
        <v>0</v>
      </c>
      <c r="O94" s="44"/>
      <c r="P94" s="44"/>
      <c r="Q94" s="44"/>
      <c r="R94" s="44"/>
      <c r="S94" s="44"/>
      <c r="T94" s="44">
        <f t="shared" si="79"/>
        <v>0</v>
      </c>
      <c r="U94" s="44"/>
      <c r="V94" s="44"/>
      <c r="W94" s="44"/>
      <c r="X94" s="44"/>
      <c r="Y94" s="44"/>
      <c r="Z94" s="158"/>
      <c r="AA94" s="44">
        <f t="shared" si="81"/>
        <v>11741598.029999999</v>
      </c>
      <c r="AB94" s="44">
        <f t="shared" si="40"/>
        <v>24742100</v>
      </c>
      <c r="AC94" s="205">
        <v>5</v>
      </c>
      <c r="AD94" s="45"/>
    </row>
    <row r="95" spans="1:30" s="19" customFormat="1" ht="65.25" customHeight="1" x14ac:dyDescent="0.25">
      <c r="A95" s="50"/>
      <c r="B95" s="51">
        <f>'дод 5'!A72</f>
        <v>0</v>
      </c>
      <c r="C95" s="51">
        <f>'дод 5'!B72</f>
        <v>0</v>
      </c>
      <c r="D95" s="52" t="str">
        <f>'дод 5'!C72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95" s="53">
        <f t="shared" si="39"/>
        <v>24742100</v>
      </c>
      <c r="F95" s="53">
        <v>24742100</v>
      </c>
      <c r="G95" s="53">
        <v>20280410</v>
      </c>
      <c r="H95" s="53"/>
      <c r="I95" s="53"/>
      <c r="J95" s="53">
        <v>11741598.029999999</v>
      </c>
      <c r="K95" s="53">
        <v>9662411.7799999993</v>
      </c>
      <c r="L95" s="53"/>
      <c r="M95" s="159">
        <f t="shared" si="78"/>
        <v>47.455947676227964</v>
      </c>
      <c r="N95" s="53">
        <f t="shared" si="41"/>
        <v>0</v>
      </c>
      <c r="O95" s="53"/>
      <c r="P95" s="53"/>
      <c r="Q95" s="53"/>
      <c r="R95" s="53"/>
      <c r="S95" s="53"/>
      <c r="T95" s="53">
        <f t="shared" si="79"/>
        <v>0</v>
      </c>
      <c r="U95" s="53"/>
      <c r="V95" s="53"/>
      <c r="W95" s="53"/>
      <c r="X95" s="53"/>
      <c r="Y95" s="53"/>
      <c r="Z95" s="159"/>
      <c r="AA95" s="53">
        <f t="shared" si="81"/>
        <v>11741598.029999999</v>
      </c>
      <c r="AB95" s="53">
        <f t="shared" si="40"/>
        <v>24742100</v>
      </c>
      <c r="AC95" s="205"/>
      <c r="AD95" s="54"/>
    </row>
    <row r="96" spans="1:30" s="19" customFormat="1" ht="65.25" customHeight="1" x14ac:dyDescent="0.25">
      <c r="A96" s="41" t="s">
        <v>447</v>
      </c>
      <c r="B96" s="42" t="str">
        <f>'дод 5'!A73</f>
        <v>1700</v>
      </c>
      <c r="C96" s="42" t="str">
        <f>'дод 5'!B73</f>
        <v>0990</v>
      </c>
      <c r="D96" s="46" t="str">
        <f>'дод 5'!C73</f>
        <v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v>
      </c>
      <c r="E96" s="44">
        <f t="shared" ref="E96" si="88">F96+I96</f>
        <v>0</v>
      </c>
      <c r="F96" s="44"/>
      <c r="G96" s="44"/>
      <c r="H96" s="44"/>
      <c r="I96" s="44"/>
      <c r="J96" s="44"/>
      <c r="K96" s="44"/>
      <c r="L96" s="44"/>
      <c r="M96" s="158"/>
      <c r="N96" s="44">
        <f t="shared" ref="N96" si="89">P96+S96</f>
        <v>5785800</v>
      </c>
      <c r="O96" s="44"/>
      <c r="P96" s="44">
        <f>2892900+2892900</f>
        <v>5785800</v>
      </c>
      <c r="Q96" s="44"/>
      <c r="R96" s="44"/>
      <c r="S96" s="44"/>
      <c r="T96" s="44">
        <f>V96+Y96</f>
        <v>1052461.45</v>
      </c>
      <c r="U96" s="44"/>
      <c r="V96" s="44">
        <v>1052461.45</v>
      </c>
      <c r="W96" s="44"/>
      <c r="X96" s="44"/>
      <c r="Y96" s="44"/>
      <c r="Z96" s="158">
        <f t="shared" si="80"/>
        <v>18.190422240658162</v>
      </c>
      <c r="AA96" s="44">
        <f t="shared" si="81"/>
        <v>1052461.45</v>
      </c>
      <c r="AB96" s="44">
        <f t="shared" ref="AB96:AB97" si="90">E96+N96</f>
        <v>5785800</v>
      </c>
      <c r="AC96" s="205"/>
      <c r="AD96" s="54"/>
    </row>
    <row r="97" spans="1:30" s="19" customFormat="1" ht="83.1" customHeight="1" x14ac:dyDescent="0.25">
      <c r="A97" s="50"/>
      <c r="B97" s="51">
        <f>'дод 5'!A74</f>
        <v>0</v>
      </c>
      <c r="C97" s="51">
        <f>'дод 5'!B74</f>
        <v>0</v>
      </c>
      <c r="D97" s="52" t="str">
        <f>'дод 5'!C74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97" s="53">
        <f>F97+I97</f>
        <v>0</v>
      </c>
      <c r="F97" s="53"/>
      <c r="G97" s="53"/>
      <c r="H97" s="53"/>
      <c r="I97" s="53"/>
      <c r="J97" s="53"/>
      <c r="K97" s="53"/>
      <c r="L97" s="53"/>
      <c r="M97" s="159"/>
      <c r="N97" s="53">
        <f>P97+S97</f>
        <v>2892900</v>
      </c>
      <c r="O97" s="53"/>
      <c r="P97" s="53">
        <v>2892900</v>
      </c>
      <c r="Q97" s="53"/>
      <c r="R97" s="53"/>
      <c r="S97" s="53"/>
      <c r="T97" s="44">
        <f>V97+Y97</f>
        <v>1052461.45</v>
      </c>
      <c r="U97" s="53"/>
      <c r="V97" s="53">
        <v>1052461.45</v>
      </c>
      <c r="W97" s="53"/>
      <c r="X97" s="53"/>
      <c r="Y97" s="53"/>
      <c r="Z97" s="159">
        <f t="shared" si="80"/>
        <v>36.380844481316323</v>
      </c>
      <c r="AA97" s="53">
        <f t="shared" si="81"/>
        <v>1052461.45</v>
      </c>
      <c r="AB97" s="53">
        <f t="shared" si="90"/>
        <v>2892900</v>
      </c>
      <c r="AC97" s="205"/>
      <c r="AD97" s="54"/>
    </row>
    <row r="98" spans="1:30" s="19" customFormat="1" ht="61.5" customHeight="1" x14ac:dyDescent="0.25">
      <c r="A98" s="50"/>
      <c r="B98" s="51"/>
      <c r="C98" s="51"/>
      <c r="D98" s="52" t="s">
        <v>489</v>
      </c>
      <c r="E98" s="53">
        <f>F98+I98</f>
        <v>0</v>
      </c>
      <c r="F98" s="53"/>
      <c r="G98" s="53"/>
      <c r="H98" s="53"/>
      <c r="I98" s="53"/>
      <c r="J98" s="53"/>
      <c r="K98" s="53"/>
      <c r="L98" s="53"/>
      <c r="M98" s="159"/>
      <c r="N98" s="53">
        <f>P98+S98</f>
        <v>2892900</v>
      </c>
      <c r="O98" s="53"/>
      <c r="P98" s="53">
        <v>2892900</v>
      </c>
      <c r="Q98" s="53"/>
      <c r="R98" s="53"/>
      <c r="S98" s="53"/>
      <c r="T98" s="53">
        <f t="shared" si="79"/>
        <v>0</v>
      </c>
      <c r="U98" s="53"/>
      <c r="V98" s="53"/>
      <c r="W98" s="53"/>
      <c r="X98" s="53"/>
      <c r="Y98" s="53"/>
      <c r="Z98" s="159">
        <f t="shared" si="80"/>
        <v>0</v>
      </c>
      <c r="AA98" s="53">
        <f t="shared" si="81"/>
        <v>0</v>
      </c>
      <c r="AB98" s="53">
        <f t="shared" ref="AB98" si="91">E98+N98</f>
        <v>2892900</v>
      </c>
      <c r="AC98" s="205"/>
      <c r="AD98" s="54"/>
    </row>
    <row r="99" spans="1:30" s="2" customFormat="1" ht="39.75" customHeight="1" x14ac:dyDescent="0.25">
      <c r="A99" s="41" t="s">
        <v>311</v>
      </c>
      <c r="B99" s="42" t="str">
        <f>'дод 5'!A117</f>
        <v>3242</v>
      </c>
      <c r="C99" s="42">
        <v>1090</v>
      </c>
      <c r="D99" s="43" t="s">
        <v>287</v>
      </c>
      <c r="E99" s="44">
        <f t="shared" si="39"/>
        <v>61600</v>
      </c>
      <c r="F99" s="44">
        <v>61600</v>
      </c>
      <c r="G99" s="44"/>
      <c r="H99" s="44"/>
      <c r="I99" s="44"/>
      <c r="J99" s="44">
        <v>18100</v>
      </c>
      <c r="K99" s="44"/>
      <c r="L99" s="44"/>
      <c r="M99" s="158">
        <f t="shared" si="78"/>
        <v>29.383116883116884</v>
      </c>
      <c r="N99" s="44">
        <f t="shared" si="41"/>
        <v>0</v>
      </c>
      <c r="O99" s="44"/>
      <c r="P99" s="44"/>
      <c r="Q99" s="44"/>
      <c r="R99" s="44"/>
      <c r="S99" s="44"/>
      <c r="T99" s="44">
        <f t="shared" si="79"/>
        <v>0</v>
      </c>
      <c r="U99" s="44"/>
      <c r="V99" s="44"/>
      <c r="W99" s="44"/>
      <c r="X99" s="44"/>
      <c r="Y99" s="44"/>
      <c r="Z99" s="158"/>
      <c r="AA99" s="44">
        <f t="shared" si="81"/>
        <v>18100</v>
      </c>
      <c r="AB99" s="44">
        <f t="shared" si="40"/>
        <v>61600</v>
      </c>
      <c r="AC99" s="205"/>
      <c r="AD99" s="54"/>
    </row>
    <row r="100" spans="1:30" s="2" customFormat="1" ht="49.5" customHeight="1" x14ac:dyDescent="0.25">
      <c r="A100" s="41" t="s">
        <v>312</v>
      </c>
      <c r="B100" s="42" t="str">
        <f>'дод 5'!A129</f>
        <v>5031</v>
      </c>
      <c r="C100" s="42" t="str">
        <f>'дод 5'!B129</f>
        <v>0810</v>
      </c>
      <c r="D100" s="46" t="str">
        <f>'дод 5'!C129</f>
        <v>Розвиток здібностей у дітей та молоді з фізичної
культури та спорту комунальними дитячо-юнацькими спортивними школами</v>
      </c>
      <c r="E100" s="44">
        <f t="shared" si="39"/>
        <v>12802100</v>
      </c>
      <c r="F100" s="44">
        <v>12802100</v>
      </c>
      <c r="G100" s="44">
        <v>9623600</v>
      </c>
      <c r="H100" s="44">
        <v>508400</v>
      </c>
      <c r="I100" s="44"/>
      <c r="J100" s="44">
        <v>2827031.15</v>
      </c>
      <c r="K100" s="44">
        <v>2160812.9</v>
      </c>
      <c r="L100" s="44">
        <v>151580.85</v>
      </c>
      <c r="M100" s="158">
        <f t="shared" si="78"/>
        <v>22.082557939713016</v>
      </c>
      <c r="N100" s="44">
        <f t="shared" si="41"/>
        <v>0</v>
      </c>
      <c r="O100" s="44"/>
      <c r="P100" s="44"/>
      <c r="Q100" s="44"/>
      <c r="R100" s="44"/>
      <c r="S100" s="44"/>
      <c r="T100" s="44">
        <f t="shared" si="79"/>
        <v>0</v>
      </c>
      <c r="U100" s="44"/>
      <c r="V100" s="44"/>
      <c r="W100" s="44"/>
      <c r="X100" s="44"/>
      <c r="Y100" s="44"/>
      <c r="Z100" s="158"/>
      <c r="AA100" s="44">
        <f t="shared" si="81"/>
        <v>2827031.15</v>
      </c>
      <c r="AB100" s="44">
        <f t="shared" si="40"/>
        <v>12802100</v>
      </c>
      <c r="AC100" s="205"/>
      <c r="AD100" s="54"/>
    </row>
    <row r="101" spans="1:30" s="100" customFormat="1" ht="31.5" customHeight="1" x14ac:dyDescent="0.25">
      <c r="A101" s="41" t="s">
        <v>313</v>
      </c>
      <c r="B101" s="42" t="str">
        <f>'дод 5'!A169</f>
        <v>7640</v>
      </c>
      <c r="C101" s="42" t="str">
        <f>'дод 5'!B169</f>
        <v>0470</v>
      </c>
      <c r="D101" s="56" t="s">
        <v>292</v>
      </c>
      <c r="E101" s="44">
        <f t="shared" si="39"/>
        <v>585000</v>
      </c>
      <c r="F101" s="44">
        <v>585000</v>
      </c>
      <c r="G101" s="44"/>
      <c r="H101" s="44"/>
      <c r="I101" s="44"/>
      <c r="J101" s="44"/>
      <c r="K101" s="44"/>
      <c r="L101" s="44"/>
      <c r="M101" s="158">
        <f t="shared" si="78"/>
        <v>0</v>
      </c>
      <c r="N101" s="44">
        <f>P101+S101</f>
        <v>1803891</v>
      </c>
      <c r="O101" s="44">
        <f>1230864+573027</f>
        <v>1803891</v>
      </c>
      <c r="P101" s="44"/>
      <c r="Q101" s="44"/>
      <c r="R101" s="44"/>
      <c r="S101" s="44">
        <f>1230864+573027</f>
        <v>1803891</v>
      </c>
      <c r="T101" s="44">
        <f t="shared" si="79"/>
        <v>182863.16</v>
      </c>
      <c r="U101" s="44">
        <v>182863.16</v>
      </c>
      <c r="V101" s="44"/>
      <c r="W101" s="44"/>
      <c r="X101" s="44"/>
      <c r="Y101" s="44">
        <v>182863.16</v>
      </c>
      <c r="Z101" s="158">
        <f t="shared" si="80"/>
        <v>10.137151302379136</v>
      </c>
      <c r="AA101" s="44">
        <f t="shared" si="81"/>
        <v>182863.16</v>
      </c>
      <c r="AB101" s="44">
        <f t="shared" si="40"/>
        <v>2388891</v>
      </c>
      <c r="AC101" s="205"/>
      <c r="AD101" s="54"/>
    </row>
    <row r="102" spans="1:30" s="19" customFormat="1" ht="38.1" customHeight="1" x14ac:dyDescent="0.25">
      <c r="A102" s="41" t="s">
        <v>356</v>
      </c>
      <c r="B102" s="42">
        <f>'дод 5'!A187</f>
        <v>8240</v>
      </c>
      <c r="C102" s="42" t="str">
        <f>'дод 5'!B187</f>
        <v>0380</v>
      </c>
      <c r="D102" s="46" t="str">
        <f>'дод 5'!C187</f>
        <v>Заходи та роботи з територіальної оборони</v>
      </c>
      <c r="E102" s="44">
        <f t="shared" si="39"/>
        <v>7482000</v>
      </c>
      <c r="F102" s="123">
        <f>3741000+3741000</f>
        <v>7482000</v>
      </c>
      <c r="G102" s="44"/>
      <c r="H102" s="44">
        <f>465000+465000</f>
        <v>930000</v>
      </c>
      <c r="I102" s="44"/>
      <c r="J102" s="44">
        <v>2770499.48</v>
      </c>
      <c r="K102" s="44"/>
      <c r="L102" s="44">
        <v>329995.02</v>
      </c>
      <c r="M102" s="158">
        <f t="shared" si="78"/>
        <v>37.028862336273718</v>
      </c>
      <c r="N102" s="44">
        <f t="shared" si="41"/>
        <v>0</v>
      </c>
      <c r="O102" s="44"/>
      <c r="P102" s="44"/>
      <c r="Q102" s="44"/>
      <c r="R102" s="44"/>
      <c r="S102" s="44"/>
      <c r="T102" s="44">
        <f t="shared" si="79"/>
        <v>37549.22</v>
      </c>
      <c r="U102" s="44"/>
      <c r="V102" s="44">
        <v>37549.22</v>
      </c>
      <c r="W102" s="44"/>
      <c r="X102" s="44"/>
      <c r="Y102" s="44"/>
      <c r="Z102" s="158"/>
      <c r="AA102" s="44">
        <f t="shared" si="81"/>
        <v>2808048.7</v>
      </c>
      <c r="AB102" s="44">
        <f t="shared" si="40"/>
        <v>7482000</v>
      </c>
      <c r="AC102" s="205"/>
      <c r="AD102" s="54"/>
    </row>
    <row r="103" spans="1:30" s="2" customFormat="1" ht="36" customHeight="1" x14ac:dyDescent="0.25">
      <c r="A103" s="41" t="s">
        <v>314</v>
      </c>
      <c r="B103" s="42" t="str">
        <f>'дод 5'!A190</f>
        <v>8340</v>
      </c>
      <c r="C103" s="42" t="str">
        <f>'дод 5'!B190</f>
        <v>0540</v>
      </c>
      <c r="D103" s="46" t="str">
        <f>'дод 5'!C190</f>
        <v>Природоохоронні заходи за рахунок цільових фондів</v>
      </c>
      <c r="E103" s="44">
        <f t="shared" si="39"/>
        <v>0</v>
      </c>
      <c r="F103" s="44"/>
      <c r="G103" s="44"/>
      <c r="H103" s="44"/>
      <c r="I103" s="44"/>
      <c r="J103" s="44"/>
      <c r="K103" s="44"/>
      <c r="L103" s="44"/>
      <c r="M103" s="158"/>
      <c r="N103" s="44">
        <f t="shared" si="41"/>
        <v>415000</v>
      </c>
      <c r="O103" s="44"/>
      <c r="P103" s="44">
        <v>415000</v>
      </c>
      <c r="Q103" s="44"/>
      <c r="R103" s="44"/>
      <c r="S103" s="44"/>
      <c r="T103" s="44">
        <f t="shared" si="79"/>
        <v>936</v>
      </c>
      <c r="U103" s="44"/>
      <c r="V103" s="44">
        <v>936</v>
      </c>
      <c r="W103" s="44"/>
      <c r="X103" s="44"/>
      <c r="Y103" s="44"/>
      <c r="Z103" s="158">
        <f t="shared" si="80"/>
        <v>0.22554216867469878</v>
      </c>
      <c r="AA103" s="44">
        <f t="shared" si="81"/>
        <v>936</v>
      </c>
      <c r="AB103" s="44">
        <f t="shared" si="40"/>
        <v>415000</v>
      </c>
      <c r="AC103" s="205"/>
      <c r="AD103" s="54"/>
    </row>
    <row r="104" spans="1:30" s="13" customFormat="1" ht="33.75" customHeight="1" x14ac:dyDescent="0.25">
      <c r="A104" s="32" t="s">
        <v>138</v>
      </c>
      <c r="B104" s="47"/>
      <c r="C104" s="47"/>
      <c r="D104" s="33" t="s">
        <v>294</v>
      </c>
      <c r="E104" s="34">
        <f>E105</f>
        <v>137026312</v>
      </c>
      <c r="F104" s="34">
        <f t="shared" ref="F104:AA104" si="92">F105</f>
        <v>136561312</v>
      </c>
      <c r="G104" s="34">
        <f t="shared" si="92"/>
        <v>5789700</v>
      </c>
      <c r="H104" s="34">
        <f t="shared" si="92"/>
        <v>249200</v>
      </c>
      <c r="I104" s="34">
        <f t="shared" si="92"/>
        <v>465000</v>
      </c>
      <c r="J104" s="34">
        <f t="shared" si="92"/>
        <v>30282223.320000004</v>
      </c>
      <c r="K104" s="34">
        <f t="shared" si="92"/>
        <v>1453459.5699999998</v>
      </c>
      <c r="L104" s="34">
        <f t="shared" si="92"/>
        <v>80813.440000000002</v>
      </c>
      <c r="M104" s="156">
        <f t="shared" si="78"/>
        <v>22.099568234748961</v>
      </c>
      <c r="N104" s="34">
        <f t="shared" si="92"/>
        <v>12144310</v>
      </c>
      <c r="O104" s="34">
        <f t="shared" si="92"/>
        <v>12144310</v>
      </c>
      <c r="P104" s="34">
        <f t="shared" si="92"/>
        <v>0</v>
      </c>
      <c r="Q104" s="34">
        <f t="shared" si="92"/>
        <v>0</v>
      </c>
      <c r="R104" s="34">
        <f t="shared" si="92"/>
        <v>0</v>
      </c>
      <c r="S104" s="34">
        <f t="shared" si="92"/>
        <v>12144310</v>
      </c>
      <c r="T104" s="34">
        <f t="shared" si="92"/>
        <v>501127.72</v>
      </c>
      <c r="U104" s="34">
        <f t="shared" si="92"/>
        <v>200000</v>
      </c>
      <c r="V104" s="34">
        <f t="shared" si="92"/>
        <v>301127.71999999997</v>
      </c>
      <c r="W104" s="34">
        <f t="shared" si="92"/>
        <v>0</v>
      </c>
      <c r="X104" s="34">
        <f t="shared" si="92"/>
        <v>0</v>
      </c>
      <c r="Y104" s="34">
        <f t="shared" si="92"/>
        <v>200000</v>
      </c>
      <c r="Z104" s="156">
        <f t="shared" si="80"/>
        <v>4.126440448242839</v>
      </c>
      <c r="AA104" s="34">
        <f t="shared" si="92"/>
        <v>30783351.040000003</v>
      </c>
      <c r="AB104" s="34">
        <f t="shared" ref="AB104" si="93">AB105</f>
        <v>149170622</v>
      </c>
      <c r="AC104" s="205"/>
      <c r="AD104" s="35"/>
    </row>
    <row r="105" spans="1:30" s="3" customFormat="1" ht="33" customHeight="1" x14ac:dyDescent="0.25">
      <c r="A105" s="36" t="s">
        <v>139</v>
      </c>
      <c r="B105" s="48"/>
      <c r="C105" s="48"/>
      <c r="D105" s="38" t="s">
        <v>374</v>
      </c>
      <c r="E105" s="39">
        <f>E106+E107+E108+E109+E110+E111+E112+E114+E113</f>
        <v>137026312</v>
      </c>
      <c r="F105" s="39">
        <f t="shared" ref="F105:AA105" si="94">F106+F107+F108+F109+F110+F111+F112+F114+F113</f>
        <v>136561312</v>
      </c>
      <c r="G105" s="39">
        <f t="shared" si="94"/>
        <v>5789700</v>
      </c>
      <c r="H105" s="39">
        <f t="shared" si="94"/>
        <v>249200</v>
      </c>
      <c r="I105" s="39">
        <f t="shared" si="94"/>
        <v>465000</v>
      </c>
      <c r="J105" s="39">
        <f t="shared" si="94"/>
        <v>30282223.320000004</v>
      </c>
      <c r="K105" s="39">
        <f t="shared" si="94"/>
        <v>1453459.5699999998</v>
      </c>
      <c r="L105" s="39">
        <f t="shared" si="94"/>
        <v>80813.440000000002</v>
      </c>
      <c r="M105" s="157">
        <f t="shared" si="78"/>
        <v>22.099568234748961</v>
      </c>
      <c r="N105" s="39">
        <f t="shared" si="94"/>
        <v>12144310</v>
      </c>
      <c r="O105" s="39">
        <f t="shared" si="94"/>
        <v>12144310</v>
      </c>
      <c r="P105" s="39">
        <f t="shared" si="94"/>
        <v>0</v>
      </c>
      <c r="Q105" s="39">
        <f t="shared" si="94"/>
        <v>0</v>
      </c>
      <c r="R105" s="39">
        <f t="shared" si="94"/>
        <v>0</v>
      </c>
      <c r="S105" s="39">
        <f t="shared" si="94"/>
        <v>12144310</v>
      </c>
      <c r="T105" s="39">
        <f t="shared" si="94"/>
        <v>501127.72</v>
      </c>
      <c r="U105" s="39">
        <f t="shared" si="94"/>
        <v>200000</v>
      </c>
      <c r="V105" s="39">
        <f t="shared" si="94"/>
        <v>301127.71999999997</v>
      </c>
      <c r="W105" s="39">
        <f t="shared" si="94"/>
        <v>0</v>
      </c>
      <c r="X105" s="39">
        <f t="shared" si="94"/>
        <v>0</v>
      </c>
      <c r="Y105" s="39">
        <f t="shared" si="94"/>
        <v>200000</v>
      </c>
      <c r="Z105" s="157">
        <f t="shared" si="80"/>
        <v>4.126440448242839</v>
      </c>
      <c r="AA105" s="39">
        <f t="shared" si="94"/>
        <v>30783351.040000003</v>
      </c>
      <c r="AB105" s="39">
        <f t="shared" ref="AB105" si="95">AB106+AB107+AB108+AB109+AB110+AB111+AB112+AB114+AB113</f>
        <v>149170622</v>
      </c>
      <c r="AC105" s="205"/>
      <c r="AD105" s="40"/>
    </row>
    <row r="106" spans="1:30" s="1" customFormat="1" ht="39" customHeight="1" x14ac:dyDescent="0.25">
      <c r="A106" s="41" t="s">
        <v>140</v>
      </c>
      <c r="B106" s="42" t="str">
        <f>'дод 5'!A18</f>
        <v>0160</v>
      </c>
      <c r="C106" s="42" t="str">
        <f>'дод 5'!B18</f>
        <v>0111</v>
      </c>
      <c r="D106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06" s="44">
        <f t="shared" ref="E106:E111" si="96">F106+I106</f>
        <v>3451700</v>
      </c>
      <c r="F106" s="44">
        <v>3451700</v>
      </c>
      <c r="G106" s="44">
        <v>2537500</v>
      </c>
      <c r="H106" s="44">
        <v>79200</v>
      </c>
      <c r="I106" s="44"/>
      <c r="J106" s="44">
        <v>925867.25</v>
      </c>
      <c r="K106" s="44">
        <v>661777.98</v>
      </c>
      <c r="L106" s="44">
        <v>25274.6</v>
      </c>
      <c r="M106" s="158">
        <f t="shared" si="78"/>
        <v>26.823514500101396</v>
      </c>
      <c r="N106" s="44">
        <f>P106+S106</f>
        <v>0</v>
      </c>
      <c r="O106" s="44"/>
      <c r="P106" s="44"/>
      <c r="Q106" s="44"/>
      <c r="R106" s="44"/>
      <c r="S106" s="44"/>
      <c r="T106" s="44">
        <f t="shared" si="79"/>
        <v>0</v>
      </c>
      <c r="U106" s="44"/>
      <c r="V106" s="44"/>
      <c r="W106" s="44"/>
      <c r="X106" s="44"/>
      <c r="Y106" s="44"/>
      <c r="Z106" s="158"/>
      <c r="AA106" s="44">
        <f t="shared" si="81"/>
        <v>925867.25</v>
      </c>
      <c r="AB106" s="44">
        <f t="shared" ref="AB106:AB114" si="97">E106+N106</f>
        <v>3451700</v>
      </c>
      <c r="AC106" s="205"/>
      <c r="AD106" s="45"/>
    </row>
    <row r="107" spans="1:30" s="18" customFormat="1" ht="33" customHeight="1" x14ac:dyDescent="0.25">
      <c r="A107" s="41" t="s">
        <v>141</v>
      </c>
      <c r="B107" s="42" t="str">
        <f>'дод 5'!A77</f>
        <v>2010</v>
      </c>
      <c r="C107" s="42" t="str">
        <f>'дод 5'!B77</f>
        <v>0731</v>
      </c>
      <c r="D107" s="56" t="str">
        <f>'дод 5'!C77</f>
        <v>Багатопрофільна стаціонарна медична допомога населенню</v>
      </c>
      <c r="E107" s="44">
        <f>F107+I107</f>
        <v>79224812</v>
      </c>
      <c r="F107" s="44">
        <f>79145600+79212</f>
        <v>79224812</v>
      </c>
      <c r="G107" s="44"/>
      <c r="H107" s="44"/>
      <c r="I107" s="44"/>
      <c r="J107" s="44">
        <v>18527450.010000002</v>
      </c>
      <c r="K107" s="44"/>
      <c r="L107" s="44"/>
      <c r="M107" s="158">
        <f t="shared" si="78"/>
        <v>23.385918555414182</v>
      </c>
      <c r="N107" s="44">
        <f t="shared" ref="N107:N114" si="98">P107+S107</f>
        <v>6500000</v>
      </c>
      <c r="O107" s="44">
        <f>7966974-1466974</f>
        <v>6500000</v>
      </c>
      <c r="P107" s="44"/>
      <c r="Q107" s="44"/>
      <c r="R107" s="44"/>
      <c r="S107" s="44">
        <f>7966974-1466974</f>
        <v>6500000</v>
      </c>
      <c r="T107" s="44">
        <f t="shared" si="79"/>
        <v>0</v>
      </c>
      <c r="U107" s="44"/>
      <c r="V107" s="44"/>
      <c r="W107" s="44"/>
      <c r="X107" s="44"/>
      <c r="Y107" s="44"/>
      <c r="Z107" s="158">
        <f t="shared" si="80"/>
        <v>0</v>
      </c>
      <c r="AA107" s="44">
        <f t="shared" si="81"/>
        <v>18527450.010000002</v>
      </c>
      <c r="AB107" s="44">
        <f t="shared" si="97"/>
        <v>85724812</v>
      </c>
      <c r="AC107" s="205"/>
      <c r="AD107" s="45"/>
    </row>
    <row r="108" spans="1:30" s="1" customFormat="1" ht="31.5" x14ac:dyDescent="0.25">
      <c r="A108" s="41" t="s">
        <v>145</v>
      </c>
      <c r="B108" s="42" t="str">
        <f>'дод 5'!A78</f>
        <v>2030</v>
      </c>
      <c r="C108" s="42" t="str">
        <f>'дод 5'!B78</f>
        <v>0733</v>
      </c>
      <c r="D108" s="43" t="str">
        <f>'дод 5'!C78</f>
        <v>Лікарсько-акушерська допомога вагітним, породіллям та новонародженим</v>
      </c>
      <c r="E108" s="44">
        <f t="shared" si="96"/>
        <v>6632300</v>
      </c>
      <c r="F108" s="44">
        <v>6632300</v>
      </c>
      <c r="G108" s="44"/>
      <c r="H108" s="44"/>
      <c r="I108" s="44"/>
      <c r="J108" s="44">
        <v>1515899.78</v>
      </c>
      <c r="K108" s="44"/>
      <c r="L108" s="44"/>
      <c r="M108" s="158">
        <f t="shared" si="78"/>
        <v>22.856321034935089</v>
      </c>
      <c r="N108" s="44">
        <f t="shared" si="98"/>
        <v>0</v>
      </c>
      <c r="O108" s="44"/>
      <c r="P108" s="44"/>
      <c r="Q108" s="44"/>
      <c r="R108" s="44"/>
      <c r="S108" s="44"/>
      <c r="T108" s="44">
        <f t="shared" si="79"/>
        <v>0</v>
      </c>
      <c r="U108" s="44"/>
      <c r="V108" s="44"/>
      <c r="W108" s="44"/>
      <c r="X108" s="44"/>
      <c r="Y108" s="44"/>
      <c r="Z108" s="158"/>
      <c r="AA108" s="44">
        <f t="shared" si="81"/>
        <v>1515899.78</v>
      </c>
      <c r="AB108" s="44">
        <f t="shared" si="97"/>
        <v>6632300</v>
      </c>
      <c r="AC108" s="205"/>
      <c r="AD108" s="45"/>
    </row>
    <row r="109" spans="1:30" s="18" customFormat="1" ht="24" customHeight="1" x14ac:dyDescent="0.25">
      <c r="A109" s="41" t="s">
        <v>144</v>
      </c>
      <c r="B109" s="42" t="str">
        <f>'дод 5'!A79</f>
        <v>2100</v>
      </c>
      <c r="C109" s="42" t="str">
        <f>'дод 5'!B79</f>
        <v>0722</v>
      </c>
      <c r="D109" s="43" t="str">
        <f>'дод 5'!C79</f>
        <v>Стоматологічна допомога населенню</v>
      </c>
      <c r="E109" s="44">
        <f t="shared" si="96"/>
        <v>3005800</v>
      </c>
      <c r="F109" s="44">
        <f>1295800+1710000</f>
        <v>3005800</v>
      </c>
      <c r="G109" s="44"/>
      <c r="H109" s="44"/>
      <c r="I109" s="44"/>
      <c r="J109" s="44">
        <v>2116407.48</v>
      </c>
      <c r="K109" s="44"/>
      <c r="L109" s="44"/>
      <c r="M109" s="158">
        <f t="shared" si="78"/>
        <v>70.410788475613813</v>
      </c>
      <c r="N109" s="44">
        <f t="shared" si="98"/>
        <v>0</v>
      </c>
      <c r="O109" s="44"/>
      <c r="P109" s="44"/>
      <c r="Q109" s="44"/>
      <c r="R109" s="44"/>
      <c r="S109" s="44"/>
      <c r="T109" s="44">
        <f t="shared" si="79"/>
        <v>0</v>
      </c>
      <c r="U109" s="44"/>
      <c r="V109" s="44"/>
      <c r="W109" s="44"/>
      <c r="X109" s="44"/>
      <c r="Y109" s="44"/>
      <c r="Z109" s="158"/>
      <c r="AA109" s="44">
        <f t="shared" si="81"/>
        <v>2116407.48</v>
      </c>
      <c r="AB109" s="44">
        <f t="shared" si="97"/>
        <v>3005800</v>
      </c>
      <c r="AC109" s="205"/>
      <c r="AD109" s="45"/>
    </row>
    <row r="110" spans="1:30" s="1" customFormat="1" ht="48" customHeight="1" x14ac:dyDescent="0.25">
      <c r="A110" s="41" t="s">
        <v>143</v>
      </c>
      <c r="B110" s="42" t="str">
        <f>'дод 5'!A80</f>
        <v>2111</v>
      </c>
      <c r="C110" s="42" t="str">
        <f>'дод 5'!B80</f>
        <v>0726</v>
      </c>
      <c r="D110" s="43" t="str">
        <f>'дод 5'!C80</f>
        <v>Первинна медична допомога населенню, що надається центрами первинної медичної (медико-санітарної) допомоги</v>
      </c>
      <c r="E110" s="44">
        <f t="shared" si="96"/>
        <v>6034800</v>
      </c>
      <c r="F110" s="44">
        <v>6034800</v>
      </c>
      <c r="G110" s="44"/>
      <c r="H110" s="44"/>
      <c r="I110" s="44"/>
      <c r="J110" s="44">
        <v>1679272.82</v>
      </c>
      <c r="K110" s="44"/>
      <c r="L110" s="44"/>
      <c r="M110" s="158">
        <f t="shared" si="78"/>
        <v>27.82648671041294</v>
      </c>
      <c r="N110" s="44">
        <f t="shared" si="98"/>
        <v>0</v>
      </c>
      <c r="O110" s="44"/>
      <c r="P110" s="44"/>
      <c r="Q110" s="44"/>
      <c r="R110" s="44"/>
      <c r="S110" s="44"/>
      <c r="T110" s="44">
        <f t="shared" si="79"/>
        <v>0</v>
      </c>
      <c r="U110" s="44"/>
      <c r="V110" s="44"/>
      <c r="W110" s="44"/>
      <c r="X110" s="44"/>
      <c r="Y110" s="44"/>
      <c r="Z110" s="158"/>
      <c r="AA110" s="44">
        <f t="shared" si="81"/>
        <v>1679272.82</v>
      </c>
      <c r="AB110" s="44">
        <f t="shared" si="97"/>
        <v>6034800</v>
      </c>
      <c r="AC110" s="205"/>
      <c r="AD110" s="45"/>
    </row>
    <row r="111" spans="1:30" s="1" customFormat="1" ht="43.5" customHeight="1" x14ac:dyDescent="0.25">
      <c r="A111" s="41" t="s">
        <v>251</v>
      </c>
      <c r="B111" s="42" t="str">
        <f>'дод 5'!A81</f>
        <v>2151</v>
      </c>
      <c r="C111" s="42" t="str">
        <f>'дод 5'!B81</f>
        <v>0763</v>
      </c>
      <c r="D111" s="43" t="str">
        <f>'дод 5'!C81</f>
        <v>Забезпечення діяльності інших закладів у сфері охорони здоров'я</v>
      </c>
      <c r="E111" s="44">
        <f t="shared" si="96"/>
        <v>4355200</v>
      </c>
      <c r="F111" s="44">
        <v>4355200</v>
      </c>
      <c r="G111" s="44">
        <v>3252200</v>
      </c>
      <c r="H111" s="44">
        <v>170000</v>
      </c>
      <c r="I111" s="44"/>
      <c r="J111" s="44">
        <v>1046346.43</v>
      </c>
      <c r="K111" s="44">
        <v>791681.59</v>
      </c>
      <c r="L111" s="44">
        <v>55538.84</v>
      </c>
      <c r="M111" s="158">
        <f t="shared" si="78"/>
        <v>24.02522111498898</v>
      </c>
      <c r="N111" s="44">
        <f t="shared" si="98"/>
        <v>0</v>
      </c>
      <c r="O111" s="44"/>
      <c r="P111" s="44"/>
      <c r="Q111" s="44"/>
      <c r="R111" s="44"/>
      <c r="S111" s="44"/>
      <c r="T111" s="44">
        <f t="shared" si="79"/>
        <v>0</v>
      </c>
      <c r="U111" s="44"/>
      <c r="V111" s="44"/>
      <c r="W111" s="44"/>
      <c r="X111" s="44"/>
      <c r="Y111" s="44"/>
      <c r="Z111" s="158"/>
      <c r="AA111" s="44">
        <f t="shared" si="81"/>
        <v>1046346.43</v>
      </c>
      <c r="AB111" s="44">
        <f t="shared" si="97"/>
        <v>4355200</v>
      </c>
      <c r="AC111" s="205"/>
      <c r="AD111" s="45"/>
    </row>
    <row r="112" spans="1:30" s="18" customFormat="1" ht="28.5" customHeight="1" x14ac:dyDescent="0.25">
      <c r="A112" s="41" t="s">
        <v>252</v>
      </c>
      <c r="B112" s="42" t="str">
        <f>'дод 5'!A82</f>
        <v>2152</v>
      </c>
      <c r="C112" s="42" t="str">
        <f>'дод 5'!B82</f>
        <v>0763</v>
      </c>
      <c r="D112" s="43" t="str">
        <f>'дод 5'!C82</f>
        <v>Інші програми та заходи у сфері охорони здоров'я</v>
      </c>
      <c r="E112" s="44">
        <f>F112+I112</f>
        <v>33856700</v>
      </c>
      <c r="F112" s="44">
        <f>35566700-1710000</f>
        <v>33856700</v>
      </c>
      <c r="G112" s="44"/>
      <c r="H112" s="44"/>
      <c r="I112" s="44"/>
      <c r="J112" s="44">
        <v>4470979.55</v>
      </c>
      <c r="K112" s="44"/>
      <c r="L112" s="44"/>
      <c r="M112" s="158">
        <f t="shared" si="78"/>
        <v>13.205597562668542</v>
      </c>
      <c r="N112" s="44">
        <f t="shared" si="98"/>
        <v>0</v>
      </c>
      <c r="O112" s="44"/>
      <c r="P112" s="44"/>
      <c r="Q112" s="44"/>
      <c r="R112" s="44"/>
      <c r="S112" s="44"/>
      <c r="T112" s="44">
        <f t="shared" si="79"/>
        <v>301127.71999999997</v>
      </c>
      <c r="U112" s="44"/>
      <c r="V112" s="44">
        <v>301127.71999999997</v>
      </c>
      <c r="W112" s="44"/>
      <c r="X112" s="44"/>
      <c r="Y112" s="44"/>
      <c r="Z112" s="158"/>
      <c r="AA112" s="44">
        <f t="shared" si="81"/>
        <v>4772107.2699999996</v>
      </c>
      <c r="AB112" s="44">
        <f t="shared" si="97"/>
        <v>33856700</v>
      </c>
      <c r="AC112" s="205"/>
      <c r="AD112" s="45"/>
    </row>
    <row r="113" spans="1:30" s="99" customFormat="1" ht="28.5" customHeight="1" x14ac:dyDescent="0.25">
      <c r="A113" s="41" t="s">
        <v>468</v>
      </c>
      <c r="B113" s="42">
        <f>'дод 5'!A83</f>
        <v>2170</v>
      </c>
      <c r="C113" s="42" t="str">
        <f>'дод 5'!B83</f>
        <v>0763</v>
      </c>
      <c r="D113" s="46" t="str">
        <f>'дод 5'!C83</f>
        <v>Будівництво1 закладів охорони здоров'я</v>
      </c>
      <c r="E113" s="44">
        <f t="shared" ref="E113:E114" si="99">F113+I113</f>
        <v>0</v>
      </c>
      <c r="F113" s="44"/>
      <c r="G113" s="44"/>
      <c r="H113" s="44"/>
      <c r="I113" s="44"/>
      <c r="J113" s="44"/>
      <c r="K113" s="44"/>
      <c r="L113" s="44"/>
      <c r="M113" s="158"/>
      <c r="N113" s="44">
        <f t="shared" si="98"/>
        <v>3645220</v>
      </c>
      <c r="O113" s="44">
        <f>2178246+1466974</f>
        <v>3645220</v>
      </c>
      <c r="P113" s="44"/>
      <c r="Q113" s="44"/>
      <c r="R113" s="44"/>
      <c r="S113" s="44">
        <f>2178246+1466974</f>
        <v>3645220</v>
      </c>
      <c r="T113" s="44">
        <f t="shared" si="79"/>
        <v>0</v>
      </c>
      <c r="U113" s="44"/>
      <c r="V113" s="44"/>
      <c r="W113" s="44"/>
      <c r="X113" s="44"/>
      <c r="Y113" s="44"/>
      <c r="Z113" s="158">
        <f t="shared" si="80"/>
        <v>0</v>
      </c>
      <c r="AA113" s="44">
        <f t="shared" si="81"/>
        <v>0</v>
      </c>
      <c r="AB113" s="44">
        <f t="shared" si="97"/>
        <v>3645220</v>
      </c>
      <c r="AC113" s="205"/>
      <c r="AD113" s="45"/>
    </row>
    <row r="114" spans="1:30" s="1" customFormat="1" ht="23.25" customHeight="1" x14ac:dyDescent="0.25">
      <c r="A114" s="41" t="s">
        <v>142</v>
      </c>
      <c r="B114" s="42" t="str">
        <f>'дод 5'!A169</f>
        <v>7640</v>
      </c>
      <c r="C114" s="42" t="str">
        <f>'дод 5'!B169</f>
        <v>0470</v>
      </c>
      <c r="D114" s="43" t="s">
        <v>292</v>
      </c>
      <c r="E114" s="44">
        <f t="shared" si="99"/>
        <v>465000</v>
      </c>
      <c r="F114" s="44"/>
      <c r="G114" s="44"/>
      <c r="H114" s="44"/>
      <c r="I114" s="44">
        <v>465000</v>
      </c>
      <c r="J114" s="44"/>
      <c r="K114" s="44"/>
      <c r="L114" s="44"/>
      <c r="M114" s="158">
        <f t="shared" si="78"/>
        <v>0</v>
      </c>
      <c r="N114" s="44">
        <f t="shared" si="98"/>
        <v>1999090</v>
      </c>
      <c r="O114" s="44">
        <v>1999090</v>
      </c>
      <c r="P114" s="44"/>
      <c r="Q114" s="44"/>
      <c r="R114" s="44"/>
      <c r="S114" s="44">
        <v>1999090</v>
      </c>
      <c r="T114" s="44">
        <f t="shared" si="79"/>
        <v>200000</v>
      </c>
      <c r="U114" s="44">
        <v>200000</v>
      </c>
      <c r="V114" s="44"/>
      <c r="W114" s="44"/>
      <c r="X114" s="44"/>
      <c r="Y114" s="44">
        <v>200000</v>
      </c>
      <c r="Z114" s="158">
        <f t="shared" si="80"/>
        <v>10.004552071192393</v>
      </c>
      <c r="AA114" s="44">
        <f t="shared" si="81"/>
        <v>200000</v>
      </c>
      <c r="AB114" s="44">
        <f t="shared" si="97"/>
        <v>2464090</v>
      </c>
      <c r="AC114" s="205"/>
      <c r="AD114" s="45"/>
    </row>
    <row r="115" spans="1:30" s="104" customFormat="1" ht="36" customHeight="1" x14ac:dyDescent="0.25">
      <c r="A115" s="32" t="s">
        <v>146</v>
      </c>
      <c r="B115" s="47"/>
      <c r="C115" s="47"/>
      <c r="D115" s="33" t="s">
        <v>32</v>
      </c>
      <c r="E115" s="34">
        <f>E116</f>
        <v>363604021</v>
      </c>
      <c r="F115" s="34">
        <f t="shared" ref="F115:AA115" si="100">F116</f>
        <v>363604021</v>
      </c>
      <c r="G115" s="34">
        <f t="shared" si="100"/>
        <v>86602065</v>
      </c>
      <c r="H115" s="34">
        <f t="shared" si="100"/>
        <v>4235300</v>
      </c>
      <c r="I115" s="34">
        <f t="shared" si="100"/>
        <v>0</v>
      </c>
      <c r="J115" s="34">
        <f t="shared" si="100"/>
        <v>112852143.25000001</v>
      </c>
      <c r="K115" s="34">
        <f t="shared" si="100"/>
        <v>20371105.129999999</v>
      </c>
      <c r="L115" s="34">
        <f t="shared" si="100"/>
        <v>1073125.98</v>
      </c>
      <c r="M115" s="156">
        <f t="shared" si="78"/>
        <v>31.037099903248873</v>
      </c>
      <c r="N115" s="34">
        <f t="shared" si="100"/>
        <v>58600</v>
      </c>
      <c r="O115" s="34">
        <f t="shared" si="100"/>
        <v>0</v>
      </c>
      <c r="P115" s="34">
        <f t="shared" si="100"/>
        <v>58600</v>
      </c>
      <c r="Q115" s="34">
        <f t="shared" si="100"/>
        <v>48000</v>
      </c>
      <c r="R115" s="34">
        <f t="shared" si="100"/>
        <v>0</v>
      </c>
      <c r="S115" s="34">
        <f t="shared" si="100"/>
        <v>0</v>
      </c>
      <c r="T115" s="34">
        <f t="shared" si="100"/>
        <v>6929405.8799999999</v>
      </c>
      <c r="U115" s="34">
        <f t="shared" si="100"/>
        <v>0</v>
      </c>
      <c r="V115" s="34">
        <f t="shared" si="100"/>
        <v>6865606.8799999999</v>
      </c>
      <c r="W115" s="34">
        <f t="shared" si="100"/>
        <v>3381.28</v>
      </c>
      <c r="X115" s="34">
        <f t="shared" si="100"/>
        <v>0</v>
      </c>
      <c r="Y115" s="34">
        <f t="shared" si="100"/>
        <v>63799</v>
      </c>
      <c r="Z115" s="156" t="s">
        <v>517</v>
      </c>
      <c r="AA115" s="34">
        <f t="shared" si="100"/>
        <v>119781549.13000001</v>
      </c>
      <c r="AB115" s="34">
        <f t="shared" ref="AB115" si="101">AB116</f>
        <v>363662621</v>
      </c>
      <c r="AC115" s="205"/>
      <c r="AD115" s="35"/>
    </row>
    <row r="116" spans="1:30" s="20" customFormat="1" ht="32.25" customHeight="1" x14ac:dyDescent="0.25">
      <c r="A116" s="36" t="s">
        <v>147</v>
      </c>
      <c r="B116" s="48"/>
      <c r="C116" s="48"/>
      <c r="D116" s="38" t="s">
        <v>350</v>
      </c>
      <c r="E116" s="39">
        <f>E121+E122+E123+E124+E125+E126+E131+E134+E138+E139+E142+E143+E144+E148+E133+E132+E127+E129+E136+E140</f>
        <v>363604021</v>
      </c>
      <c r="F116" s="39">
        <f t="shared" ref="F116:AA116" si="102">F121+F122+F123+F124+F125+F126+F131+F134+F138+F139+F142+F143+F144+F148+F133+F132+F127+F129+F136+F140</f>
        <v>363604021</v>
      </c>
      <c r="G116" s="39">
        <f t="shared" si="102"/>
        <v>86602065</v>
      </c>
      <c r="H116" s="39">
        <f t="shared" si="102"/>
        <v>4235300</v>
      </c>
      <c r="I116" s="39">
        <f t="shared" si="102"/>
        <v>0</v>
      </c>
      <c r="J116" s="39">
        <f t="shared" si="102"/>
        <v>112852143.25000001</v>
      </c>
      <c r="K116" s="39">
        <f t="shared" si="102"/>
        <v>20371105.129999999</v>
      </c>
      <c r="L116" s="39">
        <f t="shared" si="102"/>
        <v>1073125.98</v>
      </c>
      <c r="M116" s="157">
        <f t="shared" si="78"/>
        <v>31.037099903248873</v>
      </c>
      <c r="N116" s="39">
        <f t="shared" si="102"/>
        <v>58600</v>
      </c>
      <c r="O116" s="39">
        <f t="shared" si="102"/>
        <v>0</v>
      </c>
      <c r="P116" s="39">
        <f t="shared" si="102"/>
        <v>58600</v>
      </c>
      <c r="Q116" s="39">
        <f t="shared" si="102"/>
        <v>48000</v>
      </c>
      <c r="R116" s="39">
        <f t="shared" si="102"/>
        <v>0</v>
      </c>
      <c r="S116" s="39">
        <f t="shared" si="102"/>
        <v>0</v>
      </c>
      <c r="T116" s="39">
        <f t="shared" si="102"/>
        <v>6929405.8799999999</v>
      </c>
      <c r="U116" s="39">
        <f t="shared" si="102"/>
        <v>0</v>
      </c>
      <c r="V116" s="39">
        <f t="shared" si="102"/>
        <v>6865606.8799999999</v>
      </c>
      <c r="W116" s="39">
        <f t="shared" si="102"/>
        <v>3381.28</v>
      </c>
      <c r="X116" s="39">
        <f t="shared" si="102"/>
        <v>0</v>
      </c>
      <c r="Y116" s="39">
        <f t="shared" si="102"/>
        <v>63799</v>
      </c>
      <c r="Z116" s="157" t="s">
        <v>517</v>
      </c>
      <c r="AA116" s="39">
        <f t="shared" si="102"/>
        <v>119781549.13000001</v>
      </c>
      <c r="AB116" s="39">
        <f t="shared" ref="AB116" si="103">AB121+AB122+AB123+AB124+AB125+AB126+AB131+AB134+AB138+AB139+AB142+AB143+AB144+AB148+AB133+AB132+AB127+AB129+AB136+AB140</f>
        <v>363662621</v>
      </c>
      <c r="AC116" s="205"/>
      <c r="AD116" s="40"/>
    </row>
    <row r="117" spans="1:30" s="3" customFormat="1" ht="32.25" customHeight="1" x14ac:dyDescent="0.25">
      <c r="A117" s="36"/>
      <c r="B117" s="48"/>
      <c r="C117" s="48"/>
      <c r="D117" s="38" t="s">
        <v>410</v>
      </c>
      <c r="E117" s="39">
        <f>E145+E128+E130+E137</f>
        <v>1422057</v>
      </c>
      <c r="F117" s="39">
        <f t="shared" ref="F117:AA117" si="104">F145+F128+F130+F137</f>
        <v>1422057</v>
      </c>
      <c r="G117" s="39">
        <f t="shared" si="104"/>
        <v>0</v>
      </c>
      <c r="H117" s="39">
        <f t="shared" si="104"/>
        <v>0</v>
      </c>
      <c r="I117" s="39">
        <f t="shared" si="104"/>
        <v>0</v>
      </c>
      <c r="J117" s="39">
        <f t="shared" si="104"/>
        <v>280225.77</v>
      </c>
      <c r="K117" s="39">
        <f t="shared" si="104"/>
        <v>0</v>
      </c>
      <c r="L117" s="39">
        <f t="shared" si="104"/>
        <v>0</v>
      </c>
      <c r="M117" s="157">
        <f t="shared" si="78"/>
        <v>19.705663697024804</v>
      </c>
      <c r="N117" s="39">
        <f t="shared" si="104"/>
        <v>0</v>
      </c>
      <c r="O117" s="39">
        <f t="shared" si="104"/>
        <v>0</v>
      </c>
      <c r="P117" s="39">
        <f t="shared" si="104"/>
        <v>0</v>
      </c>
      <c r="Q117" s="39">
        <f t="shared" si="104"/>
        <v>0</v>
      </c>
      <c r="R117" s="39">
        <f t="shared" si="104"/>
        <v>0</v>
      </c>
      <c r="S117" s="39">
        <f t="shared" si="104"/>
        <v>0</v>
      </c>
      <c r="T117" s="39">
        <f t="shared" si="104"/>
        <v>0</v>
      </c>
      <c r="U117" s="39">
        <f t="shared" si="104"/>
        <v>0</v>
      </c>
      <c r="V117" s="39">
        <f t="shared" si="104"/>
        <v>0</v>
      </c>
      <c r="W117" s="39">
        <f t="shared" si="104"/>
        <v>0</v>
      </c>
      <c r="X117" s="39">
        <f t="shared" si="104"/>
        <v>0</v>
      </c>
      <c r="Y117" s="39">
        <f t="shared" si="104"/>
        <v>0</v>
      </c>
      <c r="Z117" s="157"/>
      <c r="AA117" s="39">
        <f t="shared" si="104"/>
        <v>280225.77</v>
      </c>
      <c r="AB117" s="39">
        <f t="shared" ref="AB117" si="105">AB145+AB128+AB130+AB137</f>
        <v>1422057</v>
      </c>
      <c r="AC117" s="205"/>
      <c r="AD117" s="40"/>
    </row>
    <row r="118" spans="1:30" s="3" customFormat="1" ht="94.5" x14ac:dyDescent="0.25">
      <c r="A118" s="36"/>
      <c r="B118" s="48"/>
      <c r="C118" s="48"/>
      <c r="D118" s="38" t="s">
        <v>393</v>
      </c>
      <c r="E118" s="39">
        <f t="shared" ref="E118:AB118" si="106">E146+E135</f>
        <v>71303000</v>
      </c>
      <c r="F118" s="39">
        <f t="shared" ref="F118:AA118" si="107">F146+F135</f>
        <v>71303000</v>
      </c>
      <c r="G118" s="39">
        <f t="shared" si="107"/>
        <v>0</v>
      </c>
      <c r="H118" s="39">
        <f t="shared" si="107"/>
        <v>0</v>
      </c>
      <c r="I118" s="39">
        <f t="shared" si="107"/>
        <v>0</v>
      </c>
      <c r="J118" s="39">
        <f t="shared" si="107"/>
        <v>27212871.260000002</v>
      </c>
      <c r="K118" s="39">
        <f t="shared" si="107"/>
        <v>0</v>
      </c>
      <c r="L118" s="39">
        <f t="shared" si="107"/>
        <v>0</v>
      </c>
      <c r="M118" s="157">
        <f t="shared" si="78"/>
        <v>38.165114034472602</v>
      </c>
      <c r="N118" s="39">
        <f t="shared" si="107"/>
        <v>0</v>
      </c>
      <c r="O118" s="39">
        <f t="shared" si="107"/>
        <v>0</v>
      </c>
      <c r="P118" s="39">
        <f t="shared" si="107"/>
        <v>0</v>
      </c>
      <c r="Q118" s="39">
        <f t="shared" si="107"/>
        <v>0</v>
      </c>
      <c r="R118" s="39">
        <f t="shared" si="107"/>
        <v>0</v>
      </c>
      <c r="S118" s="39">
        <f t="shared" si="107"/>
        <v>0</v>
      </c>
      <c r="T118" s="39">
        <f t="shared" si="107"/>
        <v>0</v>
      </c>
      <c r="U118" s="39">
        <f t="shared" si="107"/>
        <v>0</v>
      </c>
      <c r="V118" s="39">
        <f t="shared" si="107"/>
        <v>0</v>
      </c>
      <c r="W118" s="39">
        <f t="shared" si="107"/>
        <v>0</v>
      </c>
      <c r="X118" s="39">
        <f t="shared" si="107"/>
        <v>0</v>
      </c>
      <c r="Y118" s="39">
        <f t="shared" si="107"/>
        <v>0</v>
      </c>
      <c r="Z118" s="157"/>
      <c r="AA118" s="39">
        <f t="shared" si="107"/>
        <v>27212871.260000002</v>
      </c>
      <c r="AB118" s="39">
        <f t="shared" si="106"/>
        <v>71303000</v>
      </c>
      <c r="AC118" s="205"/>
      <c r="AD118" s="40"/>
    </row>
    <row r="119" spans="1:30" s="20" customFormat="1" ht="141.75" x14ac:dyDescent="0.25">
      <c r="A119" s="36"/>
      <c r="B119" s="48"/>
      <c r="C119" s="48"/>
      <c r="D119" s="38" t="str">
        <f>D147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119" s="39">
        <f>E147</f>
        <v>2868232.83</v>
      </c>
      <c r="F119" s="39">
        <f t="shared" ref="F119:AA119" si="108">F147</f>
        <v>2868232.83</v>
      </c>
      <c r="G119" s="39">
        <f t="shared" si="108"/>
        <v>0</v>
      </c>
      <c r="H119" s="39">
        <f t="shared" si="108"/>
        <v>0</v>
      </c>
      <c r="I119" s="39">
        <f t="shared" si="108"/>
        <v>0</v>
      </c>
      <c r="J119" s="39">
        <f t="shared" si="108"/>
        <v>2868232.83</v>
      </c>
      <c r="K119" s="39">
        <f t="shared" si="108"/>
        <v>0</v>
      </c>
      <c r="L119" s="39">
        <f t="shared" si="108"/>
        <v>0</v>
      </c>
      <c r="M119" s="157">
        <f t="shared" si="78"/>
        <v>100</v>
      </c>
      <c r="N119" s="39">
        <f t="shared" si="108"/>
        <v>0</v>
      </c>
      <c r="O119" s="39">
        <f t="shared" si="108"/>
        <v>0</v>
      </c>
      <c r="P119" s="39">
        <f t="shared" si="108"/>
        <v>0</v>
      </c>
      <c r="Q119" s="39">
        <f t="shared" si="108"/>
        <v>0</v>
      </c>
      <c r="R119" s="39">
        <f t="shared" si="108"/>
        <v>0</v>
      </c>
      <c r="S119" s="39">
        <f t="shared" si="108"/>
        <v>0</v>
      </c>
      <c r="T119" s="39">
        <f t="shared" si="108"/>
        <v>0</v>
      </c>
      <c r="U119" s="39">
        <f t="shared" si="108"/>
        <v>0</v>
      </c>
      <c r="V119" s="39">
        <f t="shared" si="108"/>
        <v>0</v>
      </c>
      <c r="W119" s="39">
        <f t="shared" si="108"/>
        <v>0</v>
      </c>
      <c r="X119" s="39">
        <f t="shared" si="108"/>
        <v>0</v>
      </c>
      <c r="Y119" s="39">
        <f t="shared" si="108"/>
        <v>0</v>
      </c>
      <c r="Z119" s="157"/>
      <c r="AA119" s="39">
        <f t="shared" si="108"/>
        <v>2868232.83</v>
      </c>
      <c r="AB119" s="39">
        <f t="shared" ref="AB119" si="109">AB147</f>
        <v>2868232.83</v>
      </c>
      <c r="AC119" s="97"/>
      <c r="AD119" s="40"/>
    </row>
    <row r="120" spans="1:30" s="20" customFormat="1" ht="110.25" x14ac:dyDescent="0.25">
      <c r="A120" s="36"/>
      <c r="B120" s="48"/>
      <c r="C120" s="48"/>
      <c r="D120" s="38" t="str">
        <f>D141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20" s="39">
        <f>E141</f>
        <v>430007</v>
      </c>
      <c r="F120" s="39">
        <f t="shared" ref="F120:AA120" si="110">F141</f>
        <v>430007</v>
      </c>
      <c r="G120" s="39">
        <f t="shared" si="110"/>
        <v>352465</v>
      </c>
      <c r="H120" s="39">
        <f t="shared" si="110"/>
        <v>0</v>
      </c>
      <c r="I120" s="39">
        <f t="shared" si="110"/>
        <v>0</v>
      </c>
      <c r="J120" s="39">
        <f t="shared" si="110"/>
        <v>61365.46</v>
      </c>
      <c r="K120" s="39">
        <f t="shared" si="110"/>
        <v>50299.55</v>
      </c>
      <c r="L120" s="39">
        <f t="shared" si="110"/>
        <v>0</v>
      </c>
      <c r="M120" s="157">
        <f t="shared" si="78"/>
        <v>14.270804893873819</v>
      </c>
      <c r="N120" s="39">
        <f t="shared" si="110"/>
        <v>0</v>
      </c>
      <c r="O120" s="39">
        <f t="shared" si="110"/>
        <v>0</v>
      </c>
      <c r="P120" s="39">
        <f t="shared" si="110"/>
        <v>0</v>
      </c>
      <c r="Q120" s="39">
        <f t="shared" si="110"/>
        <v>0</v>
      </c>
      <c r="R120" s="39">
        <f t="shared" si="110"/>
        <v>0</v>
      </c>
      <c r="S120" s="39">
        <f t="shared" si="110"/>
        <v>0</v>
      </c>
      <c r="T120" s="39">
        <f t="shared" si="110"/>
        <v>0</v>
      </c>
      <c r="U120" s="39">
        <f t="shared" si="110"/>
        <v>0</v>
      </c>
      <c r="V120" s="39">
        <f t="shared" si="110"/>
        <v>0</v>
      </c>
      <c r="W120" s="39">
        <f t="shared" si="110"/>
        <v>0</v>
      </c>
      <c r="X120" s="39">
        <f t="shared" si="110"/>
        <v>0</v>
      </c>
      <c r="Y120" s="39">
        <f t="shared" si="110"/>
        <v>0</v>
      </c>
      <c r="Z120" s="157"/>
      <c r="AA120" s="39">
        <f t="shared" si="110"/>
        <v>61365.46</v>
      </c>
      <c r="AB120" s="39">
        <f t="shared" ref="AB120" si="111">AB141</f>
        <v>430007</v>
      </c>
      <c r="AC120" s="97"/>
      <c r="AD120" s="40"/>
    </row>
    <row r="121" spans="1:30" s="1" customFormat="1" ht="36" customHeight="1" x14ac:dyDescent="0.25">
      <c r="A121" s="41" t="s">
        <v>148</v>
      </c>
      <c r="B121" s="42" t="str">
        <f>'дод 5'!A18</f>
        <v>0160</v>
      </c>
      <c r="C121" s="42" t="str">
        <f>'дод 5'!B18</f>
        <v>0111</v>
      </c>
      <c r="D121" s="57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21" s="44">
        <f t="shared" ref="E121:E148" si="112">F121+I121</f>
        <v>74639800</v>
      </c>
      <c r="F121" s="44">
        <f>74544600+178800-83600</f>
        <v>74639800</v>
      </c>
      <c r="G121" s="44">
        <f>57433400+146500-68500</f>
        <v>57511400</v>
      </c>
      <c r="H121" s="44">
        <v>1952800</v>
      </c>
      <c r="I121" s="44"/>
      <c r="J121" s="44">
        <v>17273691.710000001</v>
      </c>
      <c r="K121" s="44">
        <v>13593613.58</v>
      </c>
      <c r="L121" s="44">
        <v>430678.32</v>
      </c>
      <c r="M121" s="158">
        <f t="shared" si="78"/>
        <v>23.142735792432457</v>
      </c>
      <c r="N121" s="44">
        <f>P121+S121</f>
        <v>0</v>
      </c>
      <c r="O121" s="44"/>
      <c r="P121" s="44"/>
      <c r="Q121" s="44"/>
      <c r="R121" s="44"/>
      <c r="S121" s="44"/>
      <c r="T121" s="44">
        <f t="shared" si="79"/>
        <v>6848647</v>
      </c>
      <c r="U121" s="44"/>
      <c r="V121" s="44">
        <v>6784848</v>
      </c>
      <c r="W121" s="44"/>
      <c r="X121" s="44"/>
      <c r="Y121" s="44">
        <v>63799</v>
      </c>
      <c r="Z121" s="158"/>
      <c r="AA121" s="44">
        <f t="shared" si="81"/>
        <v>24122338.710000001</v>
      </c>
      <c r="AB121" s="44">
        <f t="shared" ref="AB121:AB148" si="113">E121+N121</f>
        <v>74639800</v>
      </c>
      <c r="AC121" s="97"/>
      <c r="AD121" s="45"/>
    </row>
    <row r="122" spans="1:30" s="1" customFormat="1" ht="36" customHeight="1" x14ac:dyDescent="0.25">
      <c r="A122" s="41" t="s">
        <v>149</v>
      </c>
      <c r="B122" s="42" t="str">
        <f>'дод 5'!A89</f>
        <v>3031</v>
      </c>
      <c r="C122" s="42" t="str">
        <f>'дод 5'!B89</f>
        <v>1030</v>
      </c>
      <c r="D122" s="43" t="str">
        <f>'дод 5'!C89</f>
        <v>Надання інших пільг окремим категоріям громадян відповідно до законодавства</v>
      </c>
      <c r="E122" s="44">
        <f t="shared" si="112"/>
        <v>438760</v>
      </c>
      <c r="F122" s="44">
        <v>438760</v>
      </c>
      <c r="G122" s="44"/>
      <c r="H122" s="44"/>
      <c r="I122" s="44"/>
      <c r="J122" s="44">
        <v>5782.14</v>
      </c>
      <c r="K122" s="44"/>
      <c r="L122" s="44"/>
      <c r="M122" s="158">
        <f t="shared" si="78"/>
        <v>1.3178366305041482</v>
      </c>
      <c r="N122" s="44">
        <f t="shared" ref="N122:N142" si="114">P122+S122</f>
        <v>0</v>
      </c>
      <c r="O122" s="44"/>
      <c r="P122" s="44"/>
      <c r="Q122" s="44"/>
      <c r="R122" s="44"/>
      <c r="S122" s="44"/>
      <c r="T122" s="44">
        <f t="shared" si="79"/>
        <v>0</v>
      </c>
      <c r="U122" s="44"/>
      <c r="V122" s="44"/>
      <c r="W122" s="44"/>
      <c r="X122" s="44"/>
      <c r="Y122" s="44"/>
      <c r="Z122" s="158"/>
      <c r="AA122" s="44">
        <f t="shared" si="81"/>
        <v>5782.14</v>
      </c>
      <c r="AB122" s="44">
        <f t="shared" si="113"/>
        <v>438760</v>
      </c>
      <c r="AC122" s="97"/>
      <c r="AD122" s="45"/>
    </row>
    <row r="123" spans="1:30" s="1" customFormat="1" ht="33" customHeight="1" x14ac:dyDescent="0.25">
      <c r="A123" s="41" t="s">
        <v>150</v>
      </c>
      <c r="B123" s="42" t="str">
        <f>'дод 5'!A90</f>
        <v>3032</v>
      </c>
      <c r="C123" s="42" t="str">
        <f>'дод 5'!B90</f>
        <v>1070</v>
      </c>
      <c r="D123" s="43" t="str">
        <f>'дод 5'!C90</f>
        <v>Надання пільг окремим категоріям громадян з оплати послуг зв'язку</v>
      </c>
      <c r="E123" s="44">
        <f t="shared" si="112"/>
        <v>700000</v>
      </c>
      <c r="F123" s="44">
        <v>700000</v>
      </c>
      <c r="G123" s="44"/>
      <c r="H123" s="44"/>
      <c r="I123" s="44"/>
      <c r="J123" s="44">
        <v>152762.92000000001</v>
      </c>
      <c r="K123" s="44"/>
      <c r="L123" s="44"/>
      <c r="M123" s="158">
        <f t="shared" si="78"/>
        <v>21.823274285714287</v>
      </c>
      <c r="N123" s="44">
        <f t="shared" si="114"/>
        <v>0</v>
      </c>
      <c r="O123" s="44"/>
      <c r="P123" s="44"/>
      <c r="Q123" s="44"/>
      <c r="R123" s="44"/>
      <c r="S123" s="44"/>
      <c r="T123" s="44">
        <f t="shared" si="79"/>
        <v>0</v>
      </c>
      <c r="U123" s="44"/>
      <c r="V123" s="44"/>
      <c r="W123" s="44"/>
      <c r="X123" s="44"/>
      <c r="Y123" s="44"/>
      <c r="Z123" s="158"/>
      <c r="AA123" s="44">
        <f t="shared" si="81"/>
        <v>152762.92000000001</v>
      </c>
      <c r="AB123" s="44">
        <f t="shared" si="113"/>
        <v>700000</v>
      </c>
      <c r="AC123" s="97"/>
      <c r="AD123" s="45"/>
    </row>
    <row r="124" spans="1:30" s="1" customFormat="1" ht="48.75" customHeight="1" x14ac:dyDescent="0.25">
      <c r="A124" s="41" t="s">
        <v>274</v>
      </c>
      <c r="B124" s="42" t="str">
        <f>'дод 5'!A91</f>
        <v>3033</v>
      </c>
      <c r="C124" s="42" t="str">
        <f>'дод 5'!B91</f>
        <v>1070</v>
      </c>
      <c r="D124" s="43" t="str">
        <f>'дод 5'!C91</f>
        <v>Компенсаційні виплати на пільговий проїзд автомобільним транспортом окремим категоріям громадян, у т.ч. за рахунок:</v>
      </c>
      <c r="E124" s="44">
        <f t="shared" si="112"/>
        <v>21385300</v>
      </c>
      <c r="F124" s="44">
        <v>21385300</v>
      </c>
      <c r="G124" s="44"/>
      <c r="H124" s="44"/>
      <c r="I124" s="44"/>
      <c r="J124" s="44">
        <v>4436906</v>
      </c>
      <c r="K124" s="44"/>
      <c r="L124" s="44"/>
      <c r="M124" s="158">
        <f t="shared" si="78"/>
        <v>20.747457365573549</v>
      </c>
      <c r="N124" s="44">
        <f t="shared" si="114"/>
        <v>0</v>
      </c>
      <c r="O124" s="44"/>
      <c r="P124" s="44"/>
      <c r="Q124" s="44"/>
      <c r="R124" s="44"/>
      <c r="S124" s="44"/>
      <c r="T124" s="44">
        <f t="shared" si="79"/>
        <v>0</v>
      </c>
      <c r="U124" s="44"/>
      <c r="V124" s="44"/>
      <c r="W124" s="44"/>
      <c r="X124" s="44"/>
      <c r="Y124" s="44"/>
      <c r="Z124" s="158"/>
      <c r="AA124" s="44">
        <f t="shared" si="81"/>
        <v>4436906</v>
      </c>
      <c r="AB124" s="44">
        <f t="shared" si="113"/>
        <v>21385300</v>
      </c>
      <c r="AC124" s="97"/>
      <c r="AD124" s="45"/>
    </row>
    <row r="125" spans="1:30" s="1" customFormat="1" ht="42" customHeight="1" x14ac:dyDescent="0.25">
      <c r="A125" s="41" t="s">
        <v>250</v>
      </c>
      <c r="B125" s="42" t="str">
        <f>'дод 5'!A92</f>
        <v>3035</v>
      </c>
      <c r="C125" s="42" t="str">
        <f>'дод 5'!B92</f>
        <v>1070</v>
      </c>
      <c r="D125" s="43" t="str">
        <f>'дод 5'!C92</f>
        <v>Компенсаційні виплати за пільговий проїзд окремих категорій громадян на залізничному транспорті</v>
      </c>
      <c r="E125" s="44">
        <f t="shared" si="112"/>
        <v>1000000</v>
      </c>
      <c r="F125" s="44">
        <v>1000000</v>
      </c>
      <c r="G125" s="44"/>
      <c r="H125" s="44"/>
      <c r="I125" s="44"/>
      <c r="J125" s="44">
        <v>166666</v>
      </c>
      <c r="K125" s="44"/>
      <c r="L125" s="44"/>
      <c r="M125" s="158">
        <f t="shared" si="78"/>
        <v>16.666600000000003</v>
      </c>
      <c r="N125" s="44">
        <f t="shared" si="114"/>
        <v>0</v>
      </c>
      <c r="O125" s="44"/>
      <c r="P125" s="44"/>
      <c r="Q125" s="44"/>
      <c r="R125" s="44"/>
      <c r="S125" s="44"/>
      <c r="T125" s="44">
        <f t="shared" si="79"/>
        <v>0</v>
      </c>
      <c r="U125" s="44"/>
      <c r="V125" s="44"/>
      <c r="W125" s="44"/>
      <c r="X125" s="44"/>
      <c r="Y125" s="44"/>
      <c r="Z125" s="158"/>
      <c r="AA125" s="44">
        <f t="shared" si="81"/>
        <v>166666</v>
      </c>
      <c r="AB125" s="44">
        <f t="shared" si="113"/>
        <v>1000000</v>
      </c>
      <c r="AC125" s="97"/>
      <c r="AD125" s="45"/>
    </row>
    <row r="126" spans="1:30" s="1" customFormat="1" ht="36.75" customHeight="1" x14ac:dyDescent="0.25">
      <c r="A126" s="41" t="s">
        <v>151</v>
      </c>
      <c r="B126" s="42" t="str">
        <f>'дод 5'!A93</f>
        <v>3036</v>
      </c>
      <c r="C126" s="42" t="str">
        <f>'дод 5'!B93</f>
        <v>1070</v>
      </c>
      <c r="D126" s="43" t="str">
        <f>'дод 5'!C93</f>
        <v>Компенсаційні виплати на пільговий проїзд електротранспортом окремим категоріям громадян</v>
      </c>
      <c r="E126" s="44">
        <f t="shared" si="112"/>
        <v>43231400</v>
      </c>
      <c r="F126" s="44">
        <v>43231400</v>
      </c>
      <c r="G126" s="44"/>
      <c r="H126" s="44"/>
      <c r="I126" s="44"/>
      <c r="J126" s="44">
        <v>9031600</v>
      </c>
      <c r="K126" s="44"/>
      <c r="L126" s="44"/>
      <c r="M126" s="158">
        <f t="shared" si="78"/>
        <v>20.891296603857381</v>
      </c>
      <c r="N126" s="44">
        <f t="shared" si="114"/>
        <v>0</v>
      </c>
      <c r="O126" s="44"/>
      <c r="P126" s="44"/>
      <c r="Q126" s="44"/>
      <c r="R126" s="44"/>
      <c r="S126" s="44"/>
      <c r="T126" s="44">
        <f t="shared" si="79"/>
        <v>0</v>
      </c>
      <c r="U126" s="44"/>
      <c r="V126" s="44"/>
      <c r="W126" s="44"/>
      <c r="X126" s="44"/>
      <c r="Y126" s="44"/>
      <c r="Z126" s="158"/>
      <c r="AA126" s="44">
        <f t="shared" si="81"/>
        <v>9031600</v>
      </c>
      <c r="AB126" s="44">
        <f t="shared" si="113"/>
        <v>43231400</v>
      </c>
      <c r="AC126" s="97"/>
      <c r="AD126" s="45"/>
    </row>
    <row r="127" spans="1:30" s="1" customFormat="1" ht="52.5" customHeight="1" x14ac:dyDescent="0.25">
      <c r="A127" s="41" t="s">
        <v>411</v>
      </c>
      <c r="B127" s="42" t="str">
        <f>'дод 5'!A94</f>
        <v>3050</v>
      </c>
      <c r="C127" s="42" t="str">
        <f>'дод 5'!B94</f>
        <v>1070</v>
      </c>
      <c r="D127" s="46" t="str">
        <f>'дод 5'!C94</f>
        <v>Пільгове медичне обслуговування осіб, які постраждали внаслідок Чорнобильської катастрофи, у т.ч. за рахунок:</v>
      </c>
      <c r="E127" s="44">
        <f t="shared" si="112"/>
        <v>856600</v>
      </c>
      <c r="F127" s="44">
        <v>856600</v>
      </c>
      <c r="G127" s="44"/>
      <c r="H127" s="44"/>
      <c r="I127" s="44"/>
      <c r="J127" s="44">
        <v>130303.81</v>
      </c>
      <c r="K127" s="44"/>
      <c r="L127" s="44"/>
      <c r="M127" s="158">
        <f t="shared" si="78"/>
        <v>15.211745272005603</v>
      </c>
      <c r="N127" s="44"/>
      <c r="O127" s="44"/>
      <c r="P127" s="44"/>
      <c r="Q127" s="44"/>
      <c r="R127" s="44"/>
      <c r="S127" s="44"/>
      <c r="T127" s="44">
        <f t="shared" si="79"/>
        <v>0</v>
      </c>
      <c r="U127" s="44"/>
      <c r="V127" s="44"/>
      <c r="W127" s="44"/>
      <c r="X127" s="44"/>
      <c r="Y127" s="44"/>
      <c r="Z127" s="158"/>
      <c r="AA127" s="44">
        <f t="shared" si="81"/>
        <v>130303.81</v>
      </c>
      <c r="AB127" s="44">
        <f t="shared" si="113"/>
        <v>856600</v>
      </c>
      <c r="AC127" s="97"/>
      <c r="AD127" s="45"/>
    </row>
    <row r="128" spans="1:30" s="2" customFormat="1" ht="15.75" x14ac:dyDescent="0.25">
      <c r="A128" s="50"/>
      <c r="B128" s="51">
        <f>'дод 5'!A95</f>
        <v>0</v>
      </c>
      <c r="C128" s="51">
        <f>'дод 5'!B95</f>
        <v>0</v>
      </c>
      <c r="D128" s="52" t="str">
        <f>'дод 5'!C95</f>
        <v>іншої субвенції з місцевого бюджету</v>
      </c>
      <c r="E128" s="53">
        <f t="shared" si="112"/>
        <v>856600</v>
      </c>
      <c r="F128" s="53">
        <v>856600</v>
      </c>
      <c r="G128" s="53"/>
      <c r="H128" s="53"/>
      <c r="I128" s="53"/>
      <c r="J128" s="53">
        <v>130303.81</v>
      </c>
      <c r="K128" s="53"/>
      <c r="L128" s="53"/>
      <c r="M128" s="159">
        <f t="shared" si="78"/>
        <v>15.211745272005603</v>
      </c>
      <c r="N128" s="53"/>
      <c r="O128" s="53"/>
      <c r="P128" s="53"/>
      <c r="Q128" s="53"/>
      <c r="R128" s="53"/>
      <c r="S128" s="53"/>
      <c r="T128" s="53">
        <f t="shared" si="79"/>
        <v>0</v>
      </c>
      <c r="U128" s="53"/>
      <c r="V128" s="53"/>
      <c r="W128" s="53"/>
      <c r="X128" s="53"/>
      <c r="Y128" s="53"/>
      <c r="Z128" s="159"/>
      <c r="AA128" s="53">
        <f t="shared" si="81"/>
        <v>130303.81</v>
      </c>
      <c r="AB128" s="53">
        <f t="shared" si="113"/>
        <v>856600</v>
      </c>
      <c r="AC128" s="121"/>
      <c r="AD128" s="54"/>
    </row>
    <row r="129" spans="1:30" s="1" customFormat="1" ht="42" customHeight="1" x14ac:dyDescent="0.25">
      <c r="A129" s="41" t="s">
        <v>412</v>
      </c>
      <c r="B129" s="42" t="str">
        <f>'дод 5'!A96</f>
        <v>3090</v>
      </c>
      <c r="C129" s="42" t="str">
        <f>'дод 5'!B96</f>
        <v>1030</v>
      </c>
      <c r="D129" s="46" t="str">
        <f>'дод 5'!C96</f>
        <v>Видатки на поховання учасників бойових дій та осіб з інвалідністю внаслідок війни, у т.ч. за рахунок:</v>
      </c>
      <c r="E129" s="44">
        <f t="shared" si="112"/>
        <v>124000</v>
      </c>
      <c r="F129" s="44">
        <v>124000</v>
      </c>
      <c r="G129" s="44"/>
      <c r="H129" s="44"/>
      <c r="I129" s="44"/>
      <c r="J129" s="44">
        <v>9394.3700000000008</v>
      </c>
      <c r="K129" s="44"/>
      <c r="L129" s="44"/>
      <c r="M129" s="158">
        <f t="shared" si="78"/>
        <v>7.5761048387096785</v>
      </c>
      <c r="N129" s="44"/>
      <c r="O129" s="44"/>
      <c r="P129" s="44"/>
      <c r="Q129" s="44"/>
      <c r="R129" s="44"/>
      <c r="S129" s="44"/>
      <c r="T129" s="44">
        <f t="shared" si="79"/>
        <v>0</v>
      </c>
      <c r="U129" s="44"/>
      <c r="V129" s="44"/>
      <c r="W129" s="44"/>
      <c r="X129" s="44"/>
      <c r="Y129" s="44"/>
      <c r="Z129" s="158"/>
      <c r="AA129" s="44">
        <f t="shared" si="81"/>
        <v>9394.3700000000008</v>
      </c>
      <c r="AB129" s="44">
        <f t="shared" si="113"/>
        <v>124000</v>
      </c>
      <c r="AC129" s="97">
        <v>6</v>
      </c>
      <c r="AD129" s="45"/>
    </row>
    <row r="130" spans="1:30" s="2" customFormat="1" ht="15.75" x14ac:dyDescent="0.25">
      <c r="A130" s="50"/>
      <c r="B130" s="51">
        <f>'дод 5'!A97</f>
        <v>0</v>
      </c>
      <c r="C130" s="51">
        <f>'дод 5'!B97</f>
        <v>0</v>
      </c>
      <c r="D130" s="52" t="str">
        <f>'дод 5'!C97</f>
        <v>іншої субвенції з місцевого бюджету</v>
      </c>
      <c r="E130" s="53">
        <f t="shared" si="112"/>
        <v>124000</v>
      </c>
      <c r="F130" s="53">
        <v>124000</v>
      </c>
      <c r="G130" s="53"/>
      <c r="H130" s="53"/>
      <c r="I130" s="53"/>
      <c r="J130" s="53">
        <v>9394.3700000000008</v>
      </c>
      <c r="K130" s="53"/>
      <c r="L130" s="53"/>
      <c r="M130" s="159">
        <f t="shared" si="78"/>
        <v>7.5761048387096785</v>
      </c>
      <c r="N130" s="53"/>
      <c r="O130" s="53"/>
      <c r="P130" s="53"/>
      <c r="Q130" s="53"/>
      <c r="R130" s="53"/>
      <c r="S130" s="53"/>
      <c r="T130" s="53">
        <f t="shared" si="79"/>
        <v>0</v>
      </c>
      <c r="U130" s="53"/>
      <c r="V130" s="53"/>
      <c r="W130" s="53"/>
      <c r="X130" s="53"/>
      <c r="Y130" s="53"/>
      <c r="Z130" s="159"/>
      <c r="AA130" s="53">
        <f t="shared" si="81"/>
        <v>9394.3700000000008</v>
      </c>
      <c r="AB130" s="53">
        <f t="shared" si="113"/>
        <v>124000</v>
      </c>
      <c r="AC130" s="97"/>
      <c r="AD130" s="54"/>
    </row>
    <row r="131" spans="1:30" s="1" customFormat="1" ht="64.5" customHeight="1" x14ac:dyDescent="0.25">
      <c r="A131" s="41" t="s">
        <v>152</v>
      </c>
      <c r="B131" s="42" t="str">
        <f>'дод 5'!A98</f>
        <v>3104</v>
      </c>
      <c r="C131" s="42" t="str">
        <f>'дод 5'!B98</f>
        <v>1020</v>
      </c>
      <c r="D131" s="43" t="str">
        <f>'дод 5'!C98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131" s="44">
        <f>F131+I131</f>
        <v>27074900</v>
      </c>
      <c r="F131" s="44">
        <v>27074900</v>
      </c>
      <c r="G131" s="44">
        <v>20066500</v>
      </c>
      <c r="H131" s="44">
        <v>1317500</v>
      </c>
      <c r="I131" s="44"/>
      <c r="J131" s="44">
        <v>6450617.7400000002</v>
      </c>
      <c r="K131" s="44">
        <v>4841704.3</v>
      </c>
      <c r="L131" s="44">
        <v>401969.58</v>
      </c>
      <c r="M131" s="158">
        <f t="shared" si="78"/>
        <v>23.825084266239209</v>
      </c>
      <c r="N131" s="44">
        <f t="shared" si="114"/>
        <v>58600</v>
      </c>
      <c r="O131" s="44"/>
      <c r="P131" s="44">
        <v>58600</v>
      </c>
      <c r="Q131" s="44">
        <v>48000</v>
      </c>
      <c r="R131" s="44"/>
      <c r="S131" s="44"/>
      <c r="T131" s="44">
        <f t="shared" si="79"/>
        <v>75758.880000000005</v>
      </c>
      <c r="U131" s="44"/>
      <c r="V131" s="44">
        <v>75758.880000000005</v>
      </c>
      <c r="W131" s="44">
        <v>3381.28</v>
      </c>
      <c r="X131" s="44"/>
      <c r="Y131" s="44"/>
      <c r="Z131" s="158" t="s">
        <v>518</v>
      </c>
      <c r="AA131" s="44">
        <f t="shared" si="81"/>
        <v>6526376.6200000001</v>
      </c>
      <c r="AB131" s="44">
        <f t="shared" si="113"/>
        <v>27133500</v>
      </c>
      <c r="AC131" s="97"/>
      <c r="AD131" s="45"/>
    </row>
    <row r="132" spans="1:30" s="1" customFormat="1" ht="99.75" customHeight="1" x14ac:dyDescent="0.25">
      <c r="A132" s="41" t="s">
        <v>391</v>
      </c>
      <c r="B132" s="42" t="str">
        <f>'дод 5'!A102</f>
        <v>3121</v>
      </c>
      <c r="C132" s="42" t="str">
        <f>'дод 5'!B102</f>
        <v>1040</v>
      </c>
      <c r="D132" s="46" t="str">
        <f>'дод 5'!C102</f>
        <v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v>
      </c>
      <c r="E132" s="44">
        <f t="shared" ref="E132" si="115">F132+I132</f>
        <v>6159000</v>
      </c>
      <c r="F132" s="44">
        <f>4261800+1897200</f>
        <v>6159000</v>
      </c>
      <c r="G132" s="44">
        <f>3095700+1260800</f>
        <v>4356500</v>
      </c>
      <c r="H132" s="44">
        <f>114600+287500</f>
        <v>402100</v>
      </c>
      <c r="I132" s="44"/>
      <c r="J132" s="44">
        <v>1316316.42</v>
      </c>
      <c r="K132" s="44">
        <v>978919.63</v>
      </c>
      <c r="L132" s="44">
        <v>100178.82</v>
      </c>
      <c r="M132" s="158">
        <f t="shared" si="78"/>
        <v>21.37224257184608</v>
      </c>
      <c r="N132" s="44">
        <f t="shared" si="114"/>
        <v>0</v>
      </c>
      <c r="O132" s="44"/>
      <c r="P132" s="44"/>
      <c r="Q132" s="44"/>
      <c r="R132" s="44"/>
      <c r="S132" s="44"/>
      <c r="T132" s="44">
        <f t="shared" si="79"/>
        <v>0</v>
      </c>
      <c r="U132" s="44"/>
      <c r="V132" s="44"/>
      <c r="W132" s="44"/>
      <c r="X132" s="44"/>
      <c r="Y132" s="44"/>
      <c r="Z132" s="158"/>
      <c r="AA132" s="44">
        <f t="shared" si="81"/>
        <v>1316316.42</v>
      </c>
      <c r="AB132" s="44">
        <f t="shared" si="113"/>
        <v>6159000</v>
      </c>
      <c r="AC132" s="97"/>
      <c r="AD132" s="45"/>
    </row>
    <row r="133" spans="1:30" s="1" customFormat="1" ht="69.75" customHeight="1" x14ac:dyDescent="0.25">
      <c r="A133" s="41" t="s">
        <v>376</v>
      </c>
      <c r="B133" s="42">
        <f>'дод 5'!A105</f>
        <v>3140</v>
      </c>
      <c r="C133" s="42">
        <f>'дод 5'!B105</f>
        <v>1040</v>
      </c>
      <c r="D133" s="46" t="str">
        <f>'дод 5'!C105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133" s="44">
        <f t="shared" ref="E133" si="116">F133+I133</f>
        <v>2000000</v>
      </c>
      <c r="F133" s="44">
        <v>2000000</v>
      </c>
      <c r="G133" s="44"/>
      <c r="H133" s="44"/>
      <c r="I133" s="44"/>
      <c r="J133" s="44"/>
      <c r="K133" s="44"/>
      <c r="L133" s="44"/>
      <c r="M133" s="158">
        <f t="shared" si="78"/>
        <v>0</v>
      </c>
      <c r="N133" s="44"/>
      <c r="O133" s="44"/>
      <c r="P133" s="44"/>
      <c r="Q133" s="44"/>
      <c r="R133" s="44"/>
      <c r="S133" s="44"/>
      <c r="T133" s="44">
        <f t="shared" si="79"/>
        <v>0</v>
      </c>
      <c r="U133" s="44"/>
      <c r="V133" s="44"/>
      <c r="W133" s="44"/>
      <c r="X133" s="44"/>
      <c r="Y133" s="44"/>
      <c r="Z133" s="158"/>
      <c r="AA133" s="44">
        <f t="shared" si="81"/>
        <v>0</v>
      </c>
      <c r="AB133" s="44">
        <f t="shared" ref="AB133" si="117">E133+N133</f>
        <v>2000000</v>
      </c>
      <c r="AC133" s="97"/>
      <c r="AD133" s="45"/>
    </row>
    <row r="134" spans="1:30" s="1" customFormat="1" ht="96.75" customHeight="1" x14ac:dyDescent="0.25">
      <c r="A134" s="41" t="s">
        <v>153</v>
      </c>
      <c r="B134" s="42" t="str">
        <f>'дод 5'!A106</f>
        <v>3160</v>
      </c>
      <c r="C134" s="42">
        <f>'дод 5'!B106</f>
        <v>1010</v>
      </c>
      <c r="D134" s="43" t="str">
        <f>'дод 5'!C106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</c>
      <c r="E134" s="44">
        <f>F134+I134</f>
        <v>22228000</v>
      </c>
      <c r="F134" s="44">
        <v>22228000</v>
      </c>
      <c r="G134" s="44"/>
      <c r="H134" s="44"/>
      <c r="I134" s="44"/>
      <c r="J134" s="44">
        <v>4584681.32</v>
      </c>
      <c r="K134" s="44"/>
      <c r="L134" s="44"/>
      <c r="M134" s="158">
        <f t="shared" si="78"/>
        <v>20.625703257153141</v>
      </c>
      <c r="N134" s="44">
        <f t="shared" si="114"/>
        <v>0</v>
      </c>
      <c r="O134" s="44"/>
      <c r="P134" s="44"/>
      <c r="Q134" s="44"/>
      <c r="R134" s="44"/>
      <c r="S134" s="44"/>
      <c r="T134" s="44">
        <f t="shared" si="79"/>
        <v>0</v>
      </c>
      <c r="U134" s="44"/>
      <c r="V134" s="44"/>
      <c r="W134" s="44"/>
      <c r="X134" s="44"/>
      <c r="Y134" s="44"/>
      <c r="Z134" s="158"/>
      <c r="AA134" s="44">
        <f t="shared" si="81"/>
        <v>4584681.32</v>
      </c>
      <c r="AB134" s="44">
        <f t="shared" si="113"/>
        <v>22228000</v>
      </c>
      <c r="AC134" s="97"/>
      <c r="AD134" s="45"/>
    </row>
    <row r="135" spans="1:30" s="2" customFormat="1" ht="94.5" x14ac:dyDescent="0.25">
      <c r="A135" s="50"/>
      <c r="B135" s="51"/>
      <c r="C135" s="51"/>
      <c r="D135" s="55" t="s">
        <v>393</v>
      </c>
      <c r="E135" s="53">
        <f t="shared" ref="E135:E137" si="118">F135+I135</f>
        <v>20000000</v>
      </c>
      <c r="F135" s="53">
        <v>20000000</v>
      </c>
      <c r="G135" s="53"/>
      <c r="H135" s="53"/>
      <c r="I135" s="53"/>
      <c r="J135" s="53">
        <v>4582440.41</v>
      </c>
      <c r="K135" s="53"/>
      <c r="L135" s="53"/>
      <c r="M135" s="159">
        <f t="shared" si="78"/>
        <v>22.912202050000001</v>
      </c>
      <c r="N135" s="53">
        <f t="shared" si="114"/>
        <v>0</v>
      </c>
      <c r="O135" s="53"/>
      <c r="P135" s="53"/>
      <c r="Q135" s="53"/>
      <c r="R135" s="53"/>
      <c r="S135" s="53"/>
      <c r="T135" s="53">
        <f t="shared" si="79"/>
        <v>0</v>
      </c>
      <c r="U135" s="53"/>
      <c r="V135" s="53"/>
      <c r="W135" s="53"/>
      <c r="X135" s="53"/>
      <c r="Y135" s="53"/>
      <c r="Z135" s="159"/>
      <c r="AA135" s="53">
        <f t="shared" si="81"/>
        <v>4582440.41</v>
      </c>
      <c r="AB135" s="53">
        <f t="shared" si="113"/>
        <v>20000000</v>
      </c>
      <c r="AC135" s="97"/>
      <c r="AD135" s="54"/>
    </row>
    <row r="136" spans="1:30" s="1" customFormat="1" ht="63" x14ac:dyDescent="0.25">
      <c r="A136" s="41" t="s">
        <v>413</v>
      </c>
      <c r="B136" s="42" t="str">
        <f>'дод 5'!A108</f>
        <v>3171</v>
      </c>
      <c r="C136" s="42">
        <f>'дод 5'!B108</f>
        <v>1010</v>
      </c>
      <c r="D136" s="46" t="str">
        <f>'дод 5'!C108</f>
        <v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v>
      </c>
      <c r="E136" s="44">
        <f t="shared" si="118"/>
        <v>203057</v>
      </c>
      <c r="F136" s="44">
        <v>203057</v>
      </c>
      <c r="G136" s="44"/>
      <c r="H136" s="44"/>
      <c r="I136" s="44"/>
      <c r="J136" s="44">
        <v>90127.59</v>
      </c>
      <c r="K136" s="44"/>
      <c r="L136" s="44"/>
      <c r="M136" s="158">
        <f t="shared" si="78"/>
        <v>44.38536470055206</v>
      </c>
      <c r="N136" s="44"/>
      <c r="O136" s="44"/>
      <c r="P136" s="44"/>
      <c r="Q136" s="44"/>
      <c r="R136" s="44"/>
      <c r="S136" s="44"/>
      <c r="T136" s="44">
        <f t="shared" si="79"/>
        <v>0</v>
      </c>
      <c r="U136" s="44"/>
      <c r="V136" s="44"/>
      <c r="W136" s="44"/>
      <c r="X136" s="44"/>
      <c r="Y136" s="44"/>
      <c r="Z136" s="158"/>
      <c r="AA136" s="44">
        <f t="shared" si="81"/>
        <v>90127.59</v>
      </c>
      <c r="AB136" s="44">
        <f t="shared" si="113"/>
        <v>203057</v>
      </c>
      <c r="AC136" s="97"/>
      <c r="AD136" s="45"/>
    </row>
    <row r="137" spans="1:30" s="2" customFormat="1" ht="21" customHeight="1" x14ac:dyDescent="0.25">
      <c r="A137" s="50"/>
      <c r="B137" s="51">
        <f>'дод 5'!A109</f>
        <v>0</v>
      </c>
      <c r="C137" s="51">
        <f>'дод 5'!B109</f>
        <v>0</v>
      </c>
      <c r="D137" s="52" t="str">
        <f>'дод 5'!C109</f>
        <v>іншої субвенції з місцевого бюджету</v>
      </c>
      <c r="E137" s="53">
        <f t="shared" si="118"/>
        <v>203057</v>
      </c>
      <c r="F137" s="53">
        <v>203057</v>
      </c>
      <c r="G137" s="53"/>
      <c r="H137" s="53"/>
      <c r="I137" s="53"/>
      <c r="J137" s="53">
        <v>90127.59</v>
      </c>
      <c r="K137" s="53"/>
      <c r="L137" s="53"/>
      <c r="M137" s="159">
        <f t="shared" si="78"/>
        <v>44.38536470055206</v>
      </c>
      <c r="N137" s="53"/>
      <c r="O137" s="53"/>
      <c r="P137" s="53"/>
      <c r="Q137" s="53"/>
      <c r="R137" s="53"/>
      <c r="S137" s="53"/>
      <c r="T137" s="53">
        <f t="shared" si="79"/>
        <v>0</v>
      </c>
      <c r="U137" s="53"/>
      <c r="V137" s="53"/>
      <c r="W137" s="53"/>
      <c r="X137" s="53"/>
      <c r="Y137" s="53"/>
      <c r="Z137" s="159"/>
      <c r="AA137" s="53">
        <f t="shared" si="81"/>
        <v>90127.59</v>
      </c>
      <c r="AB137" s="53">
        <f t="shared" si="113"/>
        <v>203057</v>
      </c>
      <c r="AC137" s="97"/>
      <c r="AD137" s="54"/>
    </row>
    <row r="138" spans="1:30" s="1" customFormat="1" ht="40.5" customHeight="1" x14ac:dyDescent="0.25">
      <c r="A138" s="41" t="s">
        <v>240</v>
      </c>
      <c r="B138" s="42" t="str">
        <f>'дод 5'!A110</f>
        <v>3191</v>
      </c>
      <c r="C138" s="42" t="str">
        <f>'дод 5'!B110</f>
        <v>1030</v>
      </c>
      <c r="D138" s="43" t="str">
        <f>'дод 5'!C110</f>
        <v>Інші видатки на соціальний захист ветеранів війни та праці</v>
      </c>
      <c r="E138" s="44">
        <f t="shared" si="112"/>
        <v>28137700</v>
      </c>
      <c r="F138" s="44">
        <v>28137700</v>
      </c>
      <c r="G138" s="44"/>
      <c r="H138" s="44"/>
      <c r="I138" s="44"/>
      <c r="J138" s="44">
        <v>7496987.9199999999</v>
      </c>
      <c r="K138" s="44"/>
      <c r="L138" s="44"/>
      <c r="M138" s="158">
        <f t="shared" si="78"/>
        <v>26.643925836155763</v>
      </c>
      <c r="N138" s="44">
        <f t="shared" si="114"/>
        <v>0</v>
      </c>
      <c r="O138" s="44"/>
      <c r="P138" s="44"/>
      <c r="Q138" s="44"/>
      <c r="R138" s="44"/>
      <c r="S138" s="44"/>
      <c r="T138" s="44">
        <f t="shared" si="79"/>
        <v>0</v>
      </c>
      <c r="U138" s="44"/>
      <c r="V138" s="44"/>
      <c r="W138" s="44"/>
      <c r="X138" s="44"/>
      <c r="Y138" s="44"/>
      <c r="Z138" s="158"/>
      <c r="AA138" s="44">
        <f t="shared" si="81"/>
        <v>7496987.9199999999</v>
      </c>
      <c r="AB138" s="44">
        <f t="shared" si="113"/>
        <v>28137700</v>
      </c>
      <c r="AC138" s="205">
        <v>7</v>
      </c>
      <c r="AD138" s="45"/>
    </row>
    <row r="139" spans="1:30" s="1" customFormat="1" ht="60.75" customHeight="1" x14ac:dyDescent="0.25">
      <c r="A139" s="41" t="s">
        <v>241</v>
      </c>
      <c r="B139" s="42" t="str">
        <f>'дод 5'!A111</f>
        <v>3192</v>
      </c>
      <c r="C139" s="42" t="str">
        <f>'дод 5'!B111</f>
        <v>1030</v>
      </c>
      <c r="D139" s="43" t="str">
        <f>'дод 5'!C111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139" s="44">
        <f t="shared" si="112"/>
        <v>2042540</v>
      </c>
      <c r="F139" s="44">
        <v>2042540</v>
      </c>
      <c r="G139" s="44"/>
      <c r="H139" s="44"/>
      <c r="I139" s="44"/>
      <c r="J139" s="44">
        <v>324253.2</v>
      </c>
      <c r="K139" s="44"/>
      <c r="L139" s="44"/>
      <c r="M139" s="158">
        <f t="shared" si="78"/>
        <v>15.874998776033763</v>
      </c>
      <c r="N139" s="44">
        <f t="shared" si="114"/>
        <v>0</v>
      </c>
      <c r="O139" s="44"/>
      <c r="P139" s="44"/>
      <c r="Q139" s="44"/>
      <c r="R139" s="44"/>
      <c r="S139" s="44"/>
      <c r="T139" s="44">
        <f t="shared" si="79"/>
        <v>0</v>
      </c>
      <c r="U139" s="44"/>
      <c r="V139" s="44"/>
      <c r="W139" s="44"/>
      <c r="X139" s="44"/>
      <c r="Y139" s="44"/>
      <c r="Z139" s="158"/>
      <c r="AA139" s="44">
        <f t="shared" si="81"/>
        <v>324253.2</v>
      </c>
      <c r="AB139" s="44">
        <f t="shared" si="113"/>
        <v>2042540</v>
      </c>
      <c r="AC139" s="205"/>
      <c r="AD139" s="45"/>
    </row>
    <row r="140" spans="1:30" s="18" customFormat="1" ht="85.5" customHeight="1" x14ac:dyDescent="0.25">
      <c r="A140" s="41" t="s">
        <v>474</v>
      </c>
      <c r="B140" s="42">
        <f>'дод 5'!A112</f>
        <v>3193</v>
      </c>
      <c r="C140" s="42">
        <f>'дод 5'!B112</f>
        <v>1030</v>
      </c>
      <c r="D140" s="46" t="str">
        <f>'дод 5'!C112</f>
        <v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v>
      </c>
      <c r="E140" s="44">
        <f t="shared" si="112"/>
        <v>430007</v>
      </c>
      <c r="F140" s="44">
        <v>430007</v>
      </c>
      <c r="G140" s="44">
        <v>352465</v>
      </c>
      <c r="H140" s="44"/>
      <c r="I140" s="44"/>
      <c r="J140" s="44">
        <v>61365.46</v>
      </c>
      <c r="K140" s="44">
        <v>50299.55</v>
      </c>
      <c r="L140" s="44"/>
      <c r="M140" s="158">
        <f t="shared" si="78"/>
        <v>14.270804893873819</v>
      </c>
      <c r="N140" s="44">
        <f t="shared" si="114"/>
        <v>0</v>
      </c>
      <c r="O140" s="44"/>
      <c r="P140" s="44"/>
      <c r="Q140" s="44"/>
      <c r="R140" s="44"/>
      <c r="S140" s="44"/>
      <c r="T140" s="44">
        <f t="shared" si="79"/>
        <v>0</v>
      </c>
      <c r="U140" s="44"/>
      <c r="V140" s="44"/>
      <c r="W140" s="44"/>
      <c r="X140" s="44"/>
      <c r="Y140" s="44"/>
      <c r="Z140" s="158"/>
      <c r="AA140" s="44">
        <f t="shared" si="81"/>
        <v>61365.46</v>
      </c>
      <c r="AB140" s="44">
        <f t="shared" si="113"/>
        <v>430007</v>
      </c>
      <c r="AC140" s="205"/>
      <c r="AD140" s="45"/>
    </row>
    <row r="141" spans="1:30" s="19" customFormat="1" ht="96.6" customHeight="1" x14ac:dyDescent="0.25">
      <c r="A141" s="50"/>
      <c r="B141" s="51">
        <f>'дод 5'!A113</f>
        <v>0</v>
      </c>
      <c r="C141" s="51">
        <f>'дод 5'!B113</f>
        <v>0</v>
      </c>
      <c r="D141" s="52" t="str">
        <f>'дод 5'!C113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41" s="53">
        <f t="shared" si="112"/>
        <v>430007</v>
      </c>
      <c r="F141" s="53">
        <v>430007</v>
      </c>
      <c r="G141" s="53">
        <v>352465</v>
      </c>
      <c r="H141" s="53"/>
      <c r="I141" s="53"/>
      <c r="J141" s="53">
        <v>61365.46</v>
      </c>
      <c r="K141" s="53">
        <v>50299.55</v>
      </c>
      <c r="L141" s="53"/>
      <c r="M141" s="159">
        <f t="shared" si="78"/>
        <v>14.270804893873819</v>
      </c>
      <c r="N141" s="53">
        <f t="shared" si="114"/>
        <v>0</v>
      </c>
      <c r="O141" s="53"/>
      <c r="P141" s="53"/>
      <c r="Q141" s="53"/>
      <c r="R141" s="53"/>
      <c r="S141" s="53"/>
      <c r="T141" s="53">
        <f t="shared" si="79"/>
        <v>0</v>
      </c>
      <c r="U141" s="53"/>
      <c r="V141" s="53"/>
      <c r="W141" s="53"/>
      <c r="X141" s="53"/>
      <c r="Y141" s="53"/>
      <c r="Z141" s="159"/>
      <c r="AA141" s="53">
        <f t="shared" si="81"/>
        <v>61365.46</v>
      </c>
      <c r="AB141" s="44">
        <f t="shared" si="113"/>
        <v>430007</v>
      </c>
      <c r="AC141" s="205"/>
      <c r="AD141" s="54"/>
    </row>
    <row r="142" spans="1:30" s="1" customFormat="1" ht="42.75" customHeight="1" x14ac:dyDescent="0.25">
      <c r="A142" s="41" t="s">
        <v>154</v>
      </c>
      <c r="B142" s="42" t="str">
        <f>'дод 5'!A114</f>
        <v>3200</v>
      </c>
      <c r="C142" s="42" t="str">
        <f>'дод 5'!B114</f>
        <v>1090</v>
      </c>
      <c r="D142" s="43" t="str">
        <f>'дод 5'!C114</f>
        <v>Забезпечення обробки інформації з нарахування та виплати допомог і компенсацій</v>
      </c>
      <c r="E142" s="44">
        <f t="shared" si="112"/>
        <v>107000</v>
      </c>
      <c r="F142" s="44">
        <v>107000</v>
      </c>
      <c r="G142" s="44"/>
      <c r="H142" s="44"/>
      <c r="I142" s="44"/>
      <c r="J142" s="44">
        <v>18750</v>
      </c>
      <c r="K142" s="44"/>
      <c r="L142" s="44"/>
      <c r="M142" s="158">
        <f t="shared" si="78"/>
        <v>17.523364485981308</v>
      </c>
      <c r="N142" s="44">
        <f t="shared" si="114"/>
        <v>0</v>
      </c>
      <c r="O142" s="44"/>
      <c r="P142" s="44"/>
      <c r="Q142" s="44"/>
      <c r="R142" s="44"/>
      <c r="S142" s="44"/>
      <c r="T142" s="44">
        <f t="shared" si="79"/>
        <v>0</v>
      </c>
      <c r="U142" s="44"/>
      <c r="V142" s="44"/>
      <c r="W142" s="44"/>
      <c r="X142" s="44"/>
      <c r="Y142" s="44"/>
      <c r="Z142" s="158"/>
      <c r="AA142" s="44">
        <f t="shared" si="81"/>
        <v>18750</v>
      </c>
      <c r="AB142" s="44">
        <f t="shared" si="113"/>
        <v>107000</v>
      </c>
      <c r="AC142" s="205"/>
      <c r="AD142" s="45"/>
    </row>
    <row r="143" spans="1:30" s="1" customFormat="1" ht="57" customHeight="1" x14ac:dyDescent="0.25">
      <c r="A143" s="41" t="s">
        <v>239</v>
      </c>
      <c r="B143" s="42" t="str">
        <f>'дод 5'!A116</f>
        <v>3241</v>
      </c>
      <c r="C143" s="42" t="str">
        <f>'дод 5'!B116</f>
        <v>1090</v>
      </c>
      <c r="D143" s="43" t="str">
        <f>'дод 5'!C116</f>
        <v>Надання комплексу послуг особам/сім’ям у сфері соціального захисту та соціального забезпечення іншими надавачами соціальних послуг</v>
      </c>
      <c r="E143" s="44">
        <f t="shared" si="112"/>
        <v>7634300</v>
      </c>
      <c r="F143" s="44">
        <f>7634300+1897200-1897200</f>
        <v>7634300</v>
      </c>
      <c r="G143" s="44">
        <f>4315200+1260800-1260800</f>
        <v>4315200</v>
      </c>
      <c r="H143" s="44">
        <f>562900+287500-287500</f>
        <v>562900</v>
      </c>
      <c r="I143" s="44"/>
      <c r="J143" s="44">
        <v>1507370.11</v>
      </c>
      <c r="K143" s="44">
        <v>906568.07</v>
      </c>
      <c r="L143" s="44">
        <v>140299.26</v>
      </c>
      <c r="M143" s="158">
        <f t="shared" si="78"/>
        <v>19.744706259905954</v>
      </c>
      <c r="N143" s="44">
        <f t="shared" ref="N143:N148" si="119">P143+S143</f>
        <v>0</v>
      </c>
      <c r="O143" s="44"/>
      <c r="P143" s="44"/>
      <c r="Q143" s="44"/>
      <c r="R143" s="44"/>
      <c r="S143" s="44"/>
      <c r="T143" s="44">
        <f t="shared" si="79"/>
        <v>5000</v>
      </c>
      <c r="U143" s="44"/>
      <c r="V143" s="44">
        <v>5000</v>
      </c>
      <c r="W143" s="44"/>
      <c r="X143" s="44"/>
      <c r="Y143" s="44"/>
      <c r="Z143" s="158"/>
      <c r="AA143" s="44">
        <f t="shared" si="81"/>
        <v>1512370.11</v>
      </c>
      <c r="AB143" s="44">
        <f t="shared" si="113"/>
        <v>7634300</v>
      </c>
      <c r="AC143" s="205"/>
      <c r="AD143" s="45"/>
    </row>
    <row r="144" spans="1:30" s="99" customFormat="1" ht="39.75" customHeight="1" x14ac:dyDescent="0.25">
      <c r="A144" s="41" t="s">
        <v>275</v>
      </c>
      <c r="B144" s="42" t="str">
        <f>'дод 5'!A117</f>
        <v>3242</v>
      </c>
      <c r="C144" s="42" t="str">
        <f>'дод 5'!B117</f>
        <v>1090</v>
      </c>
      <c r="D144" s="43" t="str">
        <f>'дод 5'!C117</f>
        <v>Інші заходи у сфері соціального захисту і соціального забезпечення,    у т. ч. за рахунок:</v>
      </c>
      <c r="E144" s="44">
        <f t="shared" si="112"/>
        <v>125056007</v>
      </c>
      <c r="F144" s="44">
        <f>72756307+238400+6000000+207800+41235267.17+1750000+2868232.83</f>
        <v>125056007</v>
      </c>
      <c r="G144" s="44"/>
      <c r="H144" s="44"/>
      <c r="I144" s="44"/>
      <c r="J144" s="44">
        <v>59742916.539999999</v>
      </c>
      <c r="K144" s="44"/>
      <c r="L144" s="44"/>
      <c r="M144" s="158">
        <f t="shared" si="78"/>
        <v>47.772928284844404</v>
      </c>
      <c r="N144" s="44">
        <f t="shared" si="119"/>
        <v>0</v>
      </c>
      <c r="O144" s="44"/>
      <c r="P144" s="44"/>
      <c r="Q144" s="44"/>
      <c r="R144" s="44"/>
      <c r="S144" s="44"/>
      <c r="T144" s="44">
        <f t="shared" si="79"/>
        <v>0</v>
      </c>
      <c r="U144" s="44"/>
      <c r="V144" s="44"/>
      <c r="W144" s="44"/>
      <c r="X144" s="44"/>
      <c r="Y144" s="44"/>
      <c r="Z144" s="158"/>
      <c r="AA144" s="44">
        <f t="shared" si="81"/>
        <v>59742916.539999999</v>
      </c>
      <c r="AB144" s="44">
        <f t="shared" si="113"/>
        <v>125056007</v>
      </c>
      <c r="AC144" s="205"/>
      <c r="AD144" s="45"/>
    </row>
    <row r="145" spans="1:30" s="54" customFormat="1" ht="27.75" customHeight="1" x14ac:dyDescent="0.25">
      <c r="A145" s="50"/>
      <c r="B145" s="51"/>
      <c r="C145" s="51"/>
      <c r="D145" s="55" t="str">
        <f>'дод 5'!C118</f>
        <v>іншої субвенції з місцевого бюджету</v>
      </c>
      <c r="E145" s="53">
        <f t="shared" ref="E145:E147" si="120">F145+I145</f>
        <v>238400</v>
      </c>
      <c r="F145" s="53">
        <f>201600+24000+12800</f>
        <v>238400</v>
      </c>
      <c r="G145" s="53"/>
      <c r="H145" s="53"/>
      <c r="I145" s="53"/>
      <c r="J145" s="53">
        <v>50400</v>
      </c>
      <c r="K145" s="53"/>
      <c r="L145" s="53"/>
      <c r="M145" s="159">
        <f t="shared" si="78"/>
        <v>21.140939597315437</v>
      </c>
      <c r="N145" s="53">
        <f t="shared" si="119"/>
        <v>0</v>
      </c>
      <c r="O145" s="53"/>
      <c r="P145" s="53"/>
      <c r="Q145" s="53"/>
      <c r="R145" s="53"/>
      <c r="S145" s="53"/>
      <c r="T145" s="53">
        <f t="shared" si="79"/>
        <v>0</v>
      </c>
      <c r="U145" s="53"/>
      <c r="V145" s="53"/>
      <c r="W145" s="53"/>
      <c r="X145" s="53"/>
      <c r="Y145" s="53"/>
      <c r="Z145" s="159"/>
      <c r="AA145" s="53">
        <f t="shared" si="81"/>
        <v>50400</v>
      </c>
      <c r="AB145" s="53">
        <f t="shared" ref="AB145:AB146" si="121">E145+N145</f>
        <v>238400</v>
      </c>
      <c r="AC145" s="205"/>
    </row>
    <row r="146" spans="1:30" s="54" customFormat="1" ht="94.5" x14ac:dyDescent="0.25">
      <c r="A146" s="50"/>
      <c r="B146" s="51"/>
      <c r="C146" s="51"/>
      <c r="D146" s="55" t="s">
        <v>393</v>
      </c>
      <c r="E146" s="53">
        <f t="shared" si="120"/>
        <v>51303000</v>
      </c>
      <c r="F146" s="53">
        <v>51303000</v>
      </c>
      <c r="G146" s="53"/>
      <c r="H146" s="53"/>
      <c r="I146" s="53"/>
      <c r="J146" s="53">
        <v>22630430.850000001</v>
      </c>
      <c r="K146" s="53"/>
      <c r="L146" s="53"/>
      <c r="M146" s="159">
        <f t="shared" si="78"/>
        <v>44.111320683000997</v>
      </c>
      <c r="N146" s="53">
        <f t="shared" si="119"/>
        <v>0</v>
      </c>
      <c r="O146" s="53"/>
      <c r="P146" s="53"/>
      <c r="Q146" s="53"/>
      <c r="R146" s="53"/>
      <c r="S146" s="53"/>
      <c r="T146" s="53">
        <f t="shared" si="79"/>
        <v>0</v>
      </c>
      <c r="U146" s="53"/>
      <c r="V146" s="53"/>
      <c r="W146" s="53"/>
      <c r="X146" s="53"/>
      <c r="Y146" s="53"/>
      <c r="Z146" s="159"/>
      <c r="AA146" s="53">
        <f t="shared" si="81"/>
        <v>22630430.850000001</v>
      </c>
      <c r="AB146" s="53">
        <f t="shared" si="121"/>
        <v>51303000</v>
      </c>
      <c r="AC146" s="205"/>
    </row>
    <row r="147" spans="1:30" s="100" customFormat="1" ht="112.5" customHeight="1" x14ac:dyDescent="0.25">
      <c r="A147" s="50"/>
      <c r="B147" s="51"/>
      <c r="C147" s="51"/>
      <c r="D147" s="52" t="s">
        <v>448</v>
      </c>
      <c r="E147" s="53">
        <f t="shared" si="120"/>
        <v>2868232.83</v>
      </c>
      <c r="F147" s="53">
        <v>2868232.83</v>
      </c>
      <c r="G147" s="53"/>
      <c r="H147" s="53"/>
      <c r="I147" s="53"/>
      <c r="J147" s="53">
        <v>2868232.83</v>
      </c>
      <c r="K147" s="53"/>
      <c r="L147" s="53"/>
      <c r="M147" s="159">
        <f t="shared" ref="M147:M200" si="122">J147/E147*100</f>
        <v>100</v>
      </c>
      <c r="N147" s="53">
        <f t="shared" si="119"/>
        <v>0</v>
      </c>
      <c r="O147" s="53"/>
      <c r="P147" s="53"/>
      <c r="Q147" s="53"/>
      <c r="R147" s="53"/>
      <c r="S147" s="53"/>
      <c r="T147" s="53">
        <f t="shared" ref="T147:T210" si="123">V147+Y147</f>
        <v>0</v>
      </c>
      <c r="U147" s="53"/>
      <c r="V147" s="53"/>
      <c r="W147" s="53"/>
      <c r="X147" s="53"/>
      <c r="Y147" s="53"/>
      <c r="Z147" s="159"/>
      <c r="AA147" s="53">
        <f t="shared" ref="AA147:AA210" si="124">T147+J147</f>
        <v>2868232.83</v>
      </c>
      <c r="AB147" s="44">
        <f t="shared" si="113"/>
        <v>2868232.83</v>
      </c>
      <c r="AC147" s="205"/>
      <c r="AD147" s="54"/>
    </row>
    <row r="148" spans="1:30" s="1" customFormat="1" ht="27" customHeight="1" x14ac:dyDescent="0.25">
      <c r="A148" s="41" t="s">
        <v>216</v>
      </c>
      <c r="B148" s="42" t="str">
        <f>'дод 5'!A196</f>
        <v>9770</v>
      </c>
      <c r="C148" s="42" t="str">
        <f>'дод 5'!B196</f>
        <v>0180</v>
      </c>
      <c r="D148" s="46" t="str">
        <f>'дод 5'!C196</f>
        <v>Інші субвенції з місцевого бюджету</v>
      </c>
      <c r="E148" s="44">
        <f t="shared" si="112"/>
        <v>155650</v>
      </c>
      <c r="F148" s="44">
        <v>155650</v>
      </c>
      <c r="G148" s="44"/>
      <c r="H148" s="44"/>
      <c r="I148" s="44"/>
      <c r="J148" s="44">
        <v>51650</v>
      </c>
      <c r="K148" s="44"/>
      <c r="L148" s="44"/>
      <c r="M148" s="158">
        <f t="shared" si="122"/>
        <v>33.18342434950209</v>
      </c>
      <c r="N148" s="44">
        <f t="shared" si="119"/>
        <v>0</v>
      </c>
      <c r="O148" s="44"/>
      <c r="P148" s="44"/>
      <c r="Q148" s="44"/>
      <c r="R148" s="44"/>
      <c r="S148" s="44"/>
      <c r="T148" s="44">
        <f t="shared" si="123"/>
        <v>0</v>
      </c>
      <c r="U148" s="44"/>
      <c r="V148" s="44"/>
      <c r="W148" s="44"/>
      <c r="X148" s="44"/>
      <c r="Y148" s="44"/>
      <c r="Z148" s="158"/>
      <c r="AA148" s="44">
        <f t="shared" si="124"/>
        <v>51650</v>
      </c>
      <c r="AB148" s="44">
        <f t="shared" si="113"/>
        <v>155650</v>
      </c>
      <c r="AC148" s="205"/>
      <c r="AD148" s="45"/>
    </row>
    <row r="149" spans="1:30" s="13" customFormat="1" ht="31.5" x14ac:dyDescent="0.25">
      <c r="A149" s="32" t="s">
        <v>155</v>
      </c>
      <c r="B149" s="47"/>
      <c r="C149" s="47"/>
      <c r="D149" s="33" t="s">
        <v>280</v>
      </c>
      <c r="E149" s="34">
        <f>E150</f>
        <v>9438000</v>
      </c>
      <c r="F149" s="34">
        <f t="shared" ref="F149:AA149" si="125">F150</f>
        <v>9438000</v>
      </c>
      <c r="G149" s="34">
        <f t="shared" si="125"/>
        <v>7109300</v>
      </c>
      <c r="H149" s="34">
        <f t="shared" si="125"/>
        <v>159900</v>
      </c>
      <c r="I149" s="34">
        <f t="shared" si="125"/>
        <v>0</v>
      </c>
      <c r="J149" s="34">
        <f t="shared" si="125"/>
        <v>2342920.2400000002</v>
      </c>
      <c r="K149" s="34">
        <f t="shared" si="125"/>
        <v>1864825.94</v>
      </c>
      <c r="L149" s="34">
        <f t="shared" si="125"/>
        <v>40655.94</v>
      </c>
      <c r="M149" s="156">
        <f t="shared" si="122"/>
        <v>24.824329730875188</v>
      </c>
      <c r="N149" s="34">
        <f t="shared" si="125"/>
        <v>0</v>
      </c>
      <c r="O149" s="34">
        <f t="shared" si="125"/>
        <v>0</v>
      </c>
      <c r="P149" s="34">
        <f t="shared" si="125"/>
        <v>0</v>
      </c>
      <c r="Q149" s="34">
        <f t="shared" si="125"/>
        <v>0</v>
      </c>
      <c r="R149" s="34">
        <f t="shared" si="125"/>
        <v>0</v>
      </c>
      <c r="S149" s="34">
        <f t="shared" si="125"/>
        <v>0</v>
      </c>
      <c r="T149" s="34">
        <f t="shared" si="125"/>
        <v>371069.64</v>
      </c>
      <c r="U149" s="34">
        <f t="shared" si="125"/>
        <v>0</v>
      </c>
      <c r="V149" s="34">
        <f t="shared" si="125"/>
        <v>294069.64</v>
      </c>
      <c r="W149" s="34">
        <f t="shared" si="125"/>
        <v>0</v>
      </c>
      <c r="X149" s="34">
        <f t="shared" si="125"/>
        <v>0</v>
      </c>
      <c r="Y149" s="34">
        <f t="shared" si="125"/>
        <v>77000</v>
      </c>
      <c r="Z149" s="156"/>
      <c r="AA149" s="34">
        <f t="shared" si="125"/>
        <v>2713989.8800000004</v>
      </c>
      <c r="AB149" s="34">
        <f t="shared" ref="AB149" si="126">AB150</f>
        <v>9438000</v>
      </c>
      <c r="AC149" s="205"/>
      <c r="AD149" s="35"/>
    </row>
    <row r="150" spans="1:30" s="3" customFormat="1" ht="31.5" x14ac:dyDescent="0.25">
      <c r="A150" s="36" t="s">
        <v>156</v>
      </c>
      <c r="B150" s="48"/>
      <c r="C150" s="48"/>
      <c r="D150" s="38" t="s">
        <v>280</v>
      </c>
      <c r="E150" s="39">
        <f>E151+E152+E153+E154</f>
        <v>9438000</v>
      </c>
      <c r="F150" s="39">
        <f t="shared" ref="F150:AA150" si="127">F151+F152+F153+F154</f>
        <v>9438000</v>
      </c>
      <c r="G150" s="39">
        <f t="shared" si="127"/>
        <v>7109300</v>
      </c>
      <c r="H150" s="39">
        <f t="shared" si="127"/>
        <v>159900</v>
      </c>
      <c r="I150" s="39">
        <f t="shared" si="127"/>
        <v>0</v>
      </c>
      <c r="J150" s="39">
        <f t="shared" si="127"/>
        <v>2342920.2400000002</v>
      </c>
      <c r="K150" s="39">
        <f t="shared" si="127"/>
        <v>1864825.94</v>
      </c>
      <c r="L150" s="39">
        <f t="shared" si="127"/>
        <v>40655.94</v>
      </c>
      <c r="M150" s="157">
        <f t="shared" si="122"/>
        <v>24.824329730875188</v>
      </c>
      <c r="N150" s="39">
        <f t="shared" si="127"/>
        <v>0</v>
      </c>
      <c r="O150" s="39">
        <f t="shared" si="127"/>
        <v>0</v>
      </c>
      <c r="P150" s="39">
        <f t="shared" si="127"/>
        <v>0</v>
      </c>
      <c r="Q150" s="39">
        <f t="shared" si="127"/>
        <v>0</v>
      </c>
      <c r="R150" s="39">
        <f t="shared" si="127"/>
        <v>0</v>
      </c>
      <c r="S150" s="39">
        <f t="shared" si="127"/>
        <v>0</v>
      </c>
      <c r="T150" s="39">
        <f t="shared" si="127"/>
        <v>371069.64</v>
      </c>
      <c r="U150" s="39">
        <f t="shared" si="127"/>
        <v>0</v>
      </c>
      <c r="V150" s="39">
        <f t="shared" si="127"/>
        <v>294069.64</v>
      </c>
      <c r="W150" s="39">
        <f t="shared" si="127"/>
        <v>0</v>
      </c>
      <c r="X150" s="39">
        <f t="shared" si="127"/>
        <v>0</v>
      </c>
      <c r="Y150" s="39">
        <f t="shared" si="127"/>
        <v>77000</v>
      </c>
      <c r="Z150" s="157"/>
      <c r="AA150" s="39">
        <f t="shared" si="127"/>
        <v>2713989.8800000004</v>
      </c>
      <c r="AB150" s="39">
        <f t="shared" ref="AB150" si="128">AB151+AB152+AB153+AB154</f>
        <v>9438000</v>
      </c>
      <c r="AC150" s="205"/>
      <c r="AD150" s="40"/>
    </row>
    <row r="151" spans="1:30" s="1" customFormat="1" ht="47.25" x14ac:dyDescent="0.25">
      <c r="A151" s="41" t="s">
        <v>157</v>
      </c>
      <c r="B151" s="42" t="str">
        <f>'дод 5'!A18</f>
        <v>0160</v>
      </c>
      <c r="C151" s="42" t="str">
        <f>'дод 5'!B18</f>
        <v>0111</v>
      </c>
      <c r="D151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51" s="44">
        <f t="shared" ref="E151:E154" si="129">F151+I151</f>
        <v>9145800</v>
      </c>
      <c r="F151" s="44">
        <f>8891300+254500</f>
        <v>9145800</v>
      </c>
      <c r="G151" s="44">
        <f>6900700+208600</f>
        <v>7109300</v>
      </c>
      <c r="H151" s="44">
        <v>159900</v>
      </c>
      <c r="I151" s="44"/>
      <c r="J151" s="44">
        <v>2342920.2400000002</v>
      </c>
      <c r="K151" s="44">
        <v>1864825.94</v>
      </c>
      <c r="L151" s="44">
        <v>40655.94</v>
      </c>
      <c r="M151" s="158">
        <f t="shared" si="122"/>
        <v>25.617444510048333</v>
      </c>
      <c r="N151" s="44">
        <f>P151+S151</f>
        <v>0</v>
      </c>
      <c r="O151" s="44">
        <f>12000-12000</f>
        <v>0</v>
      </c>
      <c r="P151" s="44"/>
      <c r="Q151" s="44"/>
      <c r="R151" s="44"/>
      <c r="S151" s="44">
        <f>12000-12000</f>
        <v>0</v>
      </c>
      <c r="T151" s="44">
        <f t="shared" ref="T151" si="130">V151+Y151</f>
        <v>208784.69</v>
      </c>
      <c r="U151" s="44"/>
      <c r="V151" s="44">
        <v>131784.69</v>
      </c>
      <c r="W151" s="44"/>
      <c r="X151" s="44"/>
      <c r="Y151" s="44">
        <v>77000</v>
      </c>
      <c r="Z151" s="158"/>
      <c r="AA151" s="44">
        <f t="shared" si="124"/>
        <v>2551704.9300000002</v>
      </c>
      <c r="AB151" s="44">
        <f t="shared" ref="AB151:AB154" si="131">E151+N151</f>
        <v>9145800</v>
      </c>
      <c r="AC151" s="205"/>
      <c r="AD151" s="45"/>
    </row>
    <row r="152" spans="1:30" s="1" customFormat="1" ht="84.75" hidden="1" customHeight="1" x14ac:dyDescent="0.25">
      <c r="A152" s="41" t="s">
        <v>259</v>
      </c>
      <c r="B152" s="42" t="str">
        <f>'дод 5'!A99</f>
        <v>3111</v>
      </c>
      <c r="C152" s="42" t="str">
        <f>'дод 5'!B99</f>
        <v>1040</v>
      </c>
      <c r="D152" s="46" t="str">
        <f>'дод 5'!C99</f>
        <v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v>
      </c>
      <c r="E152" s="44">
        <f t="shared" si="129"/>
        <v>0</v>
      </c>
      <c r="F152" s="44">
        <f>100000-100000</f>
        <v>0</v>
      </c>
      <c r="G152" s="44"/>
      <c r="H152" s="44"/>
      <c r="I152" s="44"/>
      <c r="J152" s="44"/>
      <c r="K152" s="44"/>
      <c r="L152" s="44"/>
      <c r="M152" s="158" t="e">
        <f t="shared" si="122"/>
        <v>#DIV/0!</v>
      </c>
      <c r="N152" s="44">
        <f t="shared" ref="N152:N153" si="132">P152+S152</f>
        <v>0</v>
      </c>
      <c r="O152" s="44">
        <f>21140-21140</f>
        <v>0</v>
      </c>
      <c r="P152" s="44"/>
      <c r="Q152" s="44"/>
      <c r="R152" s="44"/>
      <c r="S152" s="44">
        <f>21140-21140</f>
        <v>0</v>
      </c>
      <c r="T152" s="44">
        <f t="shared" si="123"/>
        <v>0</v>
      </c>
      <c r="U152" s="44"/>
      <c r="V152" s="44"/>
      <c r="W152" s="44"/>
      <c r="X152" s="44"/>
      <c r="Y152" s="44"/>
      <c r="Z152" s="158"/>
      <c r="AA152" s="44">
        <f t="shared" si="124"/>
        <v>0</v>
      </c>
      <c r="AB152" s="44">
        <f t="shared" si="131"/>
        <v>0</v>
      </c>
      <c r="AC152" s="205"/>
      <c r="AD152" s="45"/>
    </row>
    <row r="153" spans="1:30" s="1" customFormat="1" ht="31.5" customHeight="1" x14ac:dyDescent="0.25">
      <c r="A153" s="41" t="s">
        <v>158</v>
      </c>
      <c r="B153" s="42" t="str">
        <f>'дод 5'!A100</f>
        <v>3112</v>
      </c>
      <c r="C153" s="42" t="str">
        <f>'дод 5'!B100</f>
        <v>1040</v>
      </c>
      <c r="D153" s="46" t="str">
        <f>'дод 5'!C100</f>
        <v>Заходи державної політики з питань дітей та їх соціального захисту</v>
      </c>
      <c r="E153" s="44">
        <f t="shared" si="129"/>
        <v>141200</v>
      </c>
      <c r="F153" s="44">
        <f>192200-51000</f>
        <v>141200</v>
      </c>
      <c r="G153" s="44"/>
      <c r="H153" s="44"/>
      <c r="I153" s="44"/>
      <c r="J153" s="44"/>
      <c r="K153" s="44"/>
      <c r="L153" s="44"/>
      <c r="M153" s="158">
        <f t="shared" si="122"/>
        <v>0</v>
      </c>
      <c r="N153" s="44">
        <f t="shared" si="132"/>
        <v>0</v>
      </c>
      <c r="O153" s="44"/>
      <c r="P153" s="44"/>
      <c r="Q153" s="44"/>
      <c r="R153" s="44"/>
      <c r="S153" s="44"/>
      <c r="T153" s="44">
        <f t="shared" si="123"/>
        <v>162284.95000000001</v>
      </c>
      <c r="U153" s="44"/>
      <c r="V153" s="44">
        <v>162284.95000000001</v>
      </c>
      <c r="W153" s="44"/>
      <c r="X153" s="44"/>
      <c r="Y153" s="44"/>
      <c r="Z153" s="158"/>
      <c r="AA153" s="44">
        <f t="shared" si="124"/>
        <v>162284.95000000001</v>
      </c>
      <c r="AB153" s="44">
        <f t="shared" si="131"/>
        <v>141200</v>
      </c>
      <c r="AC153" s="205"/>
      <c r="AD153" s="45"/>
    </row>
    <row r="154" spans="1:30" s="1" customFormat="1" ht="63" x14ac:dyDescent="0.25">
      <c r="A154" s="41" t="s">
        <v>438</v>
      </c>
      <c r="B154" s="42">
        <f>'дод 5'!A101</f>
        <v>3114</v>
      </c>
      <c r="C154" s="42">
        <f>'дод 5'!B101</f>
        <v>1040</v>
      </c>
      <c r="D154" s="46" t="str">
        <f>'дод 5'!C101</f>
        <v>Забезпечення умов для догляду та виховання дітей і молоді в дитячих будинках сімейного типу, прийомних сім’ях та сім’ях патронатних вихователів</v>
      </c>
      <c r="E154" s="44">
        <f t="shared" si="129"/>
        <v>151000</v>
      </c>
      <c r="F154" s="44">
        <v>151000</v>
      </c>
      <c r="G154" s="44"/>
      <c r="H154" s="44"/>
      <c r="I154" s="44"/>
      <c r="J154" s="44"/>
      <c r="K154" s="44"/>
      <c r="L154" s="44"/>
      <c r="M154" s="158">
        <f t="shared" si="122"/>
        <v>0</v>
      </c>
      <c r="N154" s="44"/>
      <c r="O154" s="44"/>
      <c r="P154" s="44"/>
      <c r="Q154" s="44"/>
      <c r="R154" s="44"/>
      <c r="S154" s="44"/>
      <c r="T154" s="44">
        <f t="shared" si="123"/>
        <v>0</v>
      </c>
      <c r="U154" s="44"/>
      <c r="V154" s="44"/>
      <c r="W154" s="44"/>
      <c r="X154" s="44"/>
      <c r="Y154" s="44"/>
      <c r="Z154" s="158"/>
      <c r="AA154" s="44">
        <f t="shared" si="124"/>
        <v>0</v>
      </c>
      <c r="AB154" s="44">
        <f t="shared" si="131"/>
        <v>151000</v>
      </c>
      <c r="AC154" s="205"/>
      <c r="AD154" s="45"/>
    </row>
    <row r="155" spans="1:30" s="13" customFormat="1" ht="22.5" customHeight="1" x14ac:dyDescent="0.25">
      <c r="A155" s="32" t="s">
        <v>22</v>
      </c>
      <c r="B155" s="47"/>
      <c r="C155" s="47"/>
      <c r="D155" s="33" t="s">
        <v>260</v>
      </c>
      <c r="E155" s="34">
        <f>E156</f>
        <v>98534800</v>
      </c>
      <c r="F155" s="34">
        <f t="shared" ref="F155:AA155" si="133">F156</f>
        <v>98534800</v>
      </c>
      <c r="G155" s="34">
        <f t="shared" si="133"/>
        <v>73705800</v>
      </c>
      <c r="H155" s="34">
        <f t="shared" si="133"/>
        <v>5133000</v>
      </c>
      <c r="I155" s="34">
        <f t="shared" si="133"/>
        <v>0</v>
      </c>
      <c r="J155" s="34">
        <f t="shared" si="133"/>
        <v>22350335.600000001</v>
      </c>
      <c r="K155" s="34">
        <f t="shared" si="133"/>
        <v>16921569.059999999</v>
      </c>
      <c r="L155" s="34">
        <f t="shared" si="133"/>
        <v>1578222.0099999998</v>
      </c>
      <c r="M155" s="156">
        <f t="shared" si="122"/>
        <v>22.682682260480565</v>
      </c>
      <c r="N155" s="34">
        <f t="shared" si="133"/>
        <v>4820700</v>
      </c>
      <c r="O155" s="34">
        <f t="shared" si="133"/>
        <v>1060000</v>
      </c>
      <c r="P155" s="34">
        <f t="shared" si="133"/>
        <v>3758500</v>
      </c>
      <c r="Q155" s="34">
        <f t="shared" si="133"/>
        <v>3029160</v>
      </c>
      <c r="R155" s="34">
        <f t="shared" si="133"/>
        <v>0</v>
      </c>
      <c r="S155" s="34">
        <f t="shared" si="133"/>
        <v>1062200</v>
      </c>
      <c r="T155" s="34">
        <f t="shared" si="133"/>
        <v>1003180.38</v>
      </c>
      <c r="U155" s="34">
        <f t="shared" si="133"/>
        <v>0</v>
      </c>
      <c r="V155" s="34">
        <f t="shared" si="133"/>
        <v>784128.22</v>
      </c>
      <c r="W155" s="34">
        <f t="shared" si="133"/>
        <v>616731.68000000005</v>
      </c>
      <c r="X155" s="34">
        <f t="shared" si="133"/>
        <v>0</v>
      </c>
      <c r="Y155" s="34">
        <f t="shared" si="133"/>
        <v>219052.16</v>
      </c>
      <c r="Z155" s="156">
        <f t="shared" ref="Z155:Z210" si="134">T155/N155*100</f>
        <v>20.809848777148545</v>
      </c>
      <c r="AA155" s="34">
        <f t="shared" si="133"/>
        <v>23353515.980000004</v>
      </c>
      <c r="AB155" s="34">
        <f t="shared" ref="AB155" si="135">AB156</f>
        <v>103355500</v>
      </c>
      <c r="AC155" s="205"/>
      <c r="AD155" s="35">
        <f>N156-O156-P163</f>
        <v>3713600</v>
      </c>
    </row>
    <row r="156" spans="1:30" s="3" customFormat="1" ht="21.75" customHeight="1" x14ac:dyDescent="0.25">
      <c r="A156" s="36" t="s">
        <v>159</v>
      </c>
      <c r="B156" s="48"/>
      <c r="C156" s="48"/>
      <c r="D156" s="38" t="s">
        <v>260</v>
      </c>
      <c r="E156" s="39">
        <f>E157+E158+E159+E161+E162+E160+E163</f>
        <v>98534800</v>
      </c>
      <c r="F156" s="39">
        <f t="shared" ref="F156:AA156" si="136">F157+F158+F159+F161+F162+F160+F163</f>
        <v>98534800</v>
      </c>
      <c r="G156" s="39">
        <f t="shared" si="136"/>
        <v>73705800</v>
      </c>
      <c r="H156" s="39">
        <f t="shared" si="136"/>
        <v>5133000</v>
      </c>
      <c r="I156" s="39">
        <f t="shared" si="136"/>
        <v>0</v>
      </c>
      <c r="J156" s="39">
        <f t="shared" si="136"/>
        <v>22350335.600000001</v>
      </c>
      <c r="K156" s="39">
        <f t="shared" si="136"/>
        <v>16921569.059999999</v>
      </c>
      <c r="L156" s="39">
        <f t="shared" si="136"/>
        <v>1578222.0099999998</v>
      </c>
      <c r="M156" s="157">
        <f t="shared" si="122"/>
        <v>22.682682260480565</v>
      </c>
      <c r="N156" s="39">
        <f t="shared" si="136"/>
        <v>4820700</v>
      </c>
      <c r="O156" s="39">
        <f t="shared" si="136"/>
        <v>1060000</v>
      </c>
      <c r="P156" s="39">
        <f t="shared" si="136"/>
        <v>3758500</v>
      </c>
      <c r="Q156" s="39">
        <f t="shared" si="136"/>
        <v>3029160</v>
      </c>
      <c r="R156" s="39">
        <f t="shared" si="136"/>
        <v>0</v>
      </c>
      <c r="S156" s="39">
        <f t="shared" si="136"/>
        <v>1062200</v>
      </c>
      <c r="T156" s="39">
        <f t="shared" si="136"/>
        <v>1003180.38</v>
      </c>
      <c r="U156" s="39">
        <f t="shared" si="136"/>
        <v>0</v>
      </c>
      <c r="V156" s="39">
        <f t="shared" si="136"/>
        <v>784128.22</v>
      </c>
      <c r="W156" s="39">
        <f t="shared" si="136"/>
        <v>616731.68000000005</v>
      </c>
      <c r="X156" s="39">
        <f t="shared" si="136"/>
        <v>0</v>
      </c>
      <c r="Y156" s="39">
        <f t="shared" si="136"/>
        <v>219052.16</v>
      </c>
      <c r="Z156" s="157">
        <f t="shared" si="134"/>
        <v>20.809848777148545</v>
      </c>
      <c r="AA156" s="39">
        <f t="shared" si="136"/>
        <v>23353515.980000004</v>
      </c>
      <c r="AB156" s="39">
        <f t="shared" ref="AB156" si="137">AB157+AB158+AB159+AB161+AB162+AB160+AB163</f>
        <v>103355500</v>
      </c>
      <c r="AC156" s="205"/>
      <c r="AD156" s="40"/>
    </row>
    <row r="157" spans="1:30" s="1" customFormat="1" ht="47.25" x14ac:dyDescent="0.25">
      <c r="A157" s="41" t="s">
        <v>114</v>
      </c>
      <c r="B157" s="42" t="str">
        <f>'дод 5'!A18</f>
        <v>0160</v>
      </c>
      <c r="C157" s="42" t="str">
        <f>'дод 5'!B18</f>
        <v>0111</v>
      </c>
      <c r="D157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57" s="44">
        <f t="shared" ref="E157:E163" si="138">F157+I157</f>
        <v>3286900</v>
      </c>
      <c r="F157" s="44">
        <f>3280300+6600</f>
        <v>3286900</v>
      </c>
      <c r="G157" s="44">
        <f>2536800+5400</f>
        <v>2542200</v>
      </c>
      <c r="H157" s="44">
        <v>93300</v>
      </c>
      <c r="I157" s="44"/>
      <c r="J157" s="44">
        <v>884192.73</v>
      </c>
      <c r="K157" s="44">
        <v>694692.85</v>
      </c>
      <c r="L157" s="44">
        <v>27695.01</v>
      </c>
      <c r="M157" s="158">
        <f t="shared" si="122"/>
        <v>26.900505947853599</v>
      </c>
      <c r="N157" s="44">
        <f>P157+S157</f>
        <v>0</v>
      </c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158"/>
      <c r="AA157" s="44">
        <f>T157+J157</f>
        <v>884192.73</v>
      </c>
      <c r="AB157" s="44">
        <f t="shared" ref="AB157:AB163" si="139">E157+N157</f>
        <v>3286900</v>
      </c>
      <c r="AC157" s="205"/>
      <c r="AD157" s="45"/>
    </row>
    <row r="158" spans="1:30" s="1" customFormat="1" ht="35.1" customHeight="1" x14ac:dyDescent="0.25">
      <c r="A158" s="41" t="s">
        <v>317</v>
      </c>
      <c r="B158" s="42">
        <f>'дод 5'!A44</f>
        <v>1080</v>
      </c>
      <c r="C158" s="42" t="str">
        <f>'дод 5'!B44</f>
        <v>0960</v>
      </c>
      <c r="D158" s="46" t="str">
        <f>'дод 5'!C44</f>
        <v>Надання спеціалізованої освіти мистецькими школами</v>
      </c>
      <c r="E158" s="44">
        <f t="shared" si="138"/>
        <v>58762400</v>
      </c>
      <c r="F158" s="44">
        <v>58762400</v>
      </c>
      <c r="G158" s="44">
        <v>46330300</v>
      </c>
      <c r="H158" s="44">
        <v>1616300</v>
      </c>
      <c r="I158" s="44"/>
      <c r="J158" s="44">
        <v>13428721.73</v>
      </c>
      <c r="K158" s="44">
        <v>10586069.84</v>
      </c>
      <c r="L158" s="44">
        <v>478988.19</v>
      </c>
      <c r="M158" s="158">
        <f t="shared" si="122"/>
        <v>22.852575337290514</v>
      </c>
      <c r="N158" s="44">
        <f>P158+S158</f>
        <v>3703600</v>
      </c>
      <c r="O158" s="44"/>
      <c r="P158" s="44">
        <v>3701400</v>
      </c>
      <c r="Q158" s="44">
        <v>3029160</v>
      </c>
      <c r="R158" s="44"/>
      <c r="S158" s="44">
        <v>2200</v>
      </c>
      <c r="T158" s="44">
        <f t="shared" si="123"/>
        <v>773726.13</v>
      </c>
      <c r="U158" s="44"/>
      <c r="V158" s="44">
        <v>773726.13</v>
      </c>
      <c r="W158" s="44">
        <v>616731.68000000005</v>
      </c>
      <c r="X158" s="44"/>
      <c r="Y158" s="44"/>
      <c r="Z158" s="158">
        <f t="shared" si="134"/>
        <v>20.891190463332972</v>
      </c>
      <c r="AA158" s="44">
        <f t="shared" si="124"/>
        <v>14202447.860000001</v>
      </c>
      <c r="AB158" s="44">
        <f t="shared" si="139"/>
        <v>62466000</v>
      </c>
      <c r="AC158" s="205"/>
      <c r="AD158" s="45"/>
    </row>
    <row r="159" spans="1:30" s="18" customFormat="1" ht="21" customHeight="1" x14ac:dyDescent="0.25">
      <c r="A159" s="41" t="s">
        <v>160</v>
      </c>
      <c r="B159" s="42" t="str">
        <f>'дод 5'!A122</f>
        <v>4030</v>
      </c>
      <c r="C159" s="42" t="str">
        <f>'дод 5'!B122</f>
        <v>0824</v>
      </c>
      <c r="D159" s="43" t="str">
        <f>'дод 5'!C122</f>
        <v>Забезпечення діяльності бібліотек</v>
      </c>
      <c r="E159" s="44">
        <f t="shared" si="138"/>
        <v>26641500</v>
      </c>
      <c r="F159" s="44">
        <f>26555900+85600</f>
        <v>26641500</v>
      </c>
      <c r="G159" s="44">
        <v>18518800</v>
      </c>
      <c r="H159" s="44">
        <v>2877800</v>
      </c>
      <c r="I159" s="44"/>
      <c r="J159" s="44">
        <v>6296265.6299999999</v>
      </c>
      <c r="K159" s="44">
        <v>4329266.21</v>
      </c>
      <c r="L159" s="44">
        <v>977941.69</v>
      </c>
      <c r="M159" s="158">
        <f t="shared" si="122"/>
        <v>23.633300039412195</v>
      </c>
      <c r="N159" s="44">
        <f t="shared" ref="N159:N163" si="140">P159+S159</f>
        <v>670000</v>
      </c>
      <c r="O159" s="44">
        <f>500000+160000</f>
        <v>660000</v>
      </c>
      <c r="P159" s="44">
        <v>10000</v>
      </c>
      <c r="Q159" s="44"/>
      <c r="R159" s="44"/>
      <c r="S159" s="44">
        <f>500000+160000</f>
        <v>660000</v>
      </c>
      <c r="T159" s="44">
        <f t="shared" si="123"/>
        <v>228954.25</v>
      </c>
      <c r="U159" s="44"/>
      <c r="V159" s="44">
        <v>9902.09</v>
      </c>
      <c r="W159" s="44"/>
      <c r="X159" s="44"/>
      <c r="Y159" s="44">
        <v>219052.16</v>
      </c>
      <c r="Z159" s="158">
        <f t="shared" si="134"/>
        <v>34.17227611940298</v>
      </c>
      <c r="AA159" s="44">
        <f t="shared" si="124"/>
        <v>6525219.8799999999</v>
      </c>
      <c r="AB159" s="44">
        <f t="shared" si="139"/>
        <v>27311500</v>
      </c>
      <c r="AC159" s="205"/>
      <c r="AD159" s="45"/>
    </row>
    <row r="160" spans="1:30" s="1" customFormat="1" ht="54.75" customHeight="1" x14ac:dyDescent="0.25">
      <c r="A160" s="41">
        <v>1014060</v>
      </c>
      <c r="B160" s="42" t="str">
        <f>'дод 5'!A123</f>
        <v>4060</v>
      </c>
      <c r="C160" s="42" t="str">
        <f>'дод 5'!B123</f>
        <v>0828</v>
      </c>
      <c r="D160" s="43" t="str">
        <f>'дод 5'!C123</f>
        <v>Забезпечення діяльності палаців i будинків культури, клубів, центрів дозвілля та iнших клубних закладів</v>
      </c>
      <c r="E160" s="44">
        <f t="shared" si="138"/>
        <v>5950000</v>
      </c>
      <c r="F160" s="44">
        <v>5950000</v>
      </c>
      <c r="G160" s="44">
        <v>3831000</v>
      </c>
      <c r="H160" s="44">
        <v>413000</v>
      </c>
      <c r="I160" s="44"/>
      <c r="J160" s="44">
        <v>1000348.26</v>
      </c>
      <c r="K160" s="44">
        <v>761202.87</v>
      </c>
      <c r="L160" s="44">
        <v>55423.17</v>
      </c>
      <c r="M160" s="158">
        <f t="shared" si="122"/>
        <v>16.81257579831933</v>
      </c>
      <c r="N160" s="44">
        <f t="shared" si="140"/>
        <v>400000</v>
      </c>
      <c r="O160" s="44">
        <v>400000</v>
      </c>
      <c r="P160" s="44"/>
      <c r="Q160" s="44"/>
      <c r="R160" s="44"/>
      <c r="S160" s="44">
        <v>400000</v>
      </c>
      <c r="T160" s="44">
        <f t="shared" si="123"/>
        <v>500</v>
      </c>
      <c r="U160" s="44"/>
      <c r="V160" s="44">
        <v>500</v>
      </c>
      <c r="W160" s="44"/>
      <c r="X160" s="44"/>
      <c r="Y160" s="44"/>
      <c r="Z160" s="158">
        <f t="shared" si="134"/>
        <v>0.125</v>
      </c>
      <c r="AA160" s="44">
        <f t="shared" si="124"/>
        <v>1000848.26</v>
      </c>
      <c r="AB160" s="44">
        <f t="shared" si="139"/>
        <v>6350000</v>
      </c>
      <c r="AC160" s="205"/>
      <c r="AD160" s="45"/>
    </row>
    <row r="161" spans="1:30" s="2" customFormat="1" ht="43.5" customHeight="1" x14ac:dyDescent="0.25">
      <c r="A161" s="41">
        <v>1014081</v>
      </c>
      <c r="B161" s="42" t="str">
        <f>'дод 5'!A124</f>
        <v>4081</v>
      </c>
      <c r="C161" s="42" t="str">
        <f>'дод 5'!B124</f>
        <v>0829</v>
      </c>
      <c r="D161" s="43" t="str">
        <f>'дод 5'!C124</f>
        <v>Забезпечення діяльності інших закладів в галузі культури і мистецтва</v>
      </c>
      <c r="E161" s="44">
        <f t="shared" si="138"/>
        <v>3394000</v>
      </c>
      <c r="F161" s="44">
        <v>3394000</v>
      </c>
      <c r="G161" s="44">
        <v>2483500</v>
      </c>
      <c r="H161" s="44">
        <v>132600</v>
      </c>
      <c r="I161" s="44"/>
      <c r="J161" s="44">
        <v>726807.25</v>
      </c>
      <c r="K161" s="44">
        <v>550337.29</v>
      </c>
      <c r="L161" s="44">
        <v>38173.949999999997</v>
      </c>
      <c r="M161" s="158">
        <f t="shared" si="122"/>
        <v>21.414474071891572</v>
      </c>
      <c r="N161" s="44">
        <f t="shared" si="140"/>
        <v>0</v>
      </c>
      <c r="O161" s="44"/>
      <c r="P161" s="44"/>
      <c r="Q161" s="44"/>
      <c r="R161" s="44"/>
      <c r="S161" s="44"/>
      <c r="T161" s="44">
        <f t="shared" si="123"/>
        <v>0</v>
      </c>
      <c r="U161" s="44"/>
      <c r="V161" s="44"/>
      <c r="W161" s="44"/>
      <c r="X161" s="44"/>
      <c r="Y161" s="44"/>
      <c r="Z161" s="158"/>
      <c r="AA161" s="44">
        <f t="shared" si="124"/>
        <v>726807.25</v>
      </c>
      <c r="AB161" s="44">
        <f t="shared" si="139"/>
        <v>3394000</v>
      </c>
      <c r="AC161" s="205"/>
      <c r="AD161" s="54"/>
    </row>
    <row r="162" spans="1:30" s="2" customFormat="1" ht="25.5" customHeight="1" x14ac:dyDescent="0.25">
      <c r="A162" s="41">
        <v>1014082</v>
      </c>
      <c r="B162" s="42" t="str">
        <f>'дод 5'!A125</f>
        <v>4082</v>
      </c>
      <c r="C162" s="42" t="str">
        <f>'дод 5'!B125</f>
        <v>0829</v>
      </c>
      <c r="D162" s="43" t="str">
        <f>'дод 5'!C125</f>
        <v>Інші заходи в галузі культури і мистецтва</v>
      </c>
      <c r="E162" s="44">
        <f t="shared" si="138"/>
        <v>500000</v>
      </c>
      <c r="F162" s="44">
        <v>500000</v>
      </c>
      <c r="G162" s="44"/>
      <c r="H162" s="44"/>
      <c r="I162" s="44"/>
      <c r="J162" s="44">
        <v>14000</v>
      </c>
      <c r="K162" s="44"/>
      <c r="L162" s="44"/>
      <c r="M162" s="158">
        <f t="shared" si="122"/>
        <v>2.8000000000000003</v>
      </c>
      <c r="N162" s="44">
        <f t="shared" si="140"/>
        <v>0</v>
      </c>
      <c r="O162" s="44"/>
      <c r="P162" s="44"/>
      <c r="Q162" s="44"/>
      <c r="R162" s="44"/>
      <c r="S162" s="44"/>
      <c r="T162" s="44">
        <f t="shared" si="123"/>
        <v>0</v>
      </c>
      <c r="U162" s="44"/>
      <c r="V162" s="44"/>
      <c r="W162" s="44"/>
      <c r="X162" s="44"/>
      <c r="Y162" s="44"/>
      <c r="Z162" s="158"/>
      <c r="AA162" s="44">
        <f t="shared" si="124"/>
        <v>14000</v>
      </c>
      <c r="AB162" s="44">
        <f t="shared" si="139"/>
        <v>500000</v>
      </c>
      <c r="AC162" s="205">
        <v>8</v>
      </c>
      <c r="AD162" s="54"/>
    </row>
    <row r="163" spans="1:30" s="1" customFormat="1" ht="39.75" customHeight="1" x14ac:dyDescent="0.25">
      <c r="A163" s="41">
        <v>1018340</v>
      </c>
      <c r="B163" s="42" t="str">
        <f>'дод 5'!A190</f>
        <v>8340</v>
      </c>
      <c r="C163" s="42" t="str">
        <f>'дод 5'!B190</f>
        <v>0540</v>
      </c>
      <c r="D163" s="46" t="str">
        <f>'дод 5'!C190</f>
        <v>Природоохоронні заходи за рахунок цільових фондів</v>
      </c>
      <c r="E163" s="44">
        <f t="shared" si="138"/>
        <v>0</v>
      </c>
      <c r="F163" s="44"/>
      <c r="G163" s="44"/>
      <c r="H163" s="44"/>
      <c r="I163" s="44"/>
      <c r="J163" s="44"/>
      <c r="K163" s="44"/>
      <c r="L163" s="44"/>
      <c r="M163" s="158"/>
      <c r="N163" s="44">
        <f t="shared" si="140"/>
        <v>47100</v>
      </c>
      <c r="O163" s="44"/>
      <c r="P163" s="44">
        <v>47100</v>
      </c>
      <c r="Q163" s="44"/>
      <c r="R163" s="44"/>
      <c r="S163" s="44"/>
      <c r="T163" s="44">
        <f t="shared" si="123"/>
        <v>0</v>
      </c>
      <c r="U163" s="44"/>
      <c r="V163" s="44"/>
      <c r="W163" s="44"/>
      <c r="X163" s="44"/>
      <c r="Y163" s="44"/>
      <c r="Z163" s="158">
        <f t="shared" si="134"/>
        <v>0</v>
      </c>
      <c r="AA163" s="44">
        <f t="shared" si="124"/>
        <v>0</v>
      </c>
      <c r="AB163" s="44">
        <f t="shared" si="139"/>
        <v>47100</v>
      </c>
      <c r="AC163" s="205"/>
      <c r="AD163" s="45"/>
    </row>
    <row r="164" spans="1:30" s="104" customFormat="1" ht="34.5" customHeight="1" x14ac:dyDescent="0.25">
      <c r="A164" s="32" t="s">
        <v>161</v>
      </c>
      <c r="B164" s="47"/>
      <c r="C164" s="47"/>
      <c r="D164" s="33" t="s">
        <v>27</v>
      </c>
      <c r="E164" s="34">
        <f>E165</f>
        <v>530413460</v>
      </c>
      <c r="F164" s="34">
        <f t="shared" ref="F164:AA164" si="141">F165</f>
        <v>370376260</v>
      </c>
      <c r="G164" s="34">
        <f t="shared" si="141"/>
        <v>23787200</v>
      </c>
      <c r="H164" s="34">
        <f t="shared" si="141"/>
        <v>55799100</v>
      </c>
      <c r="I164" s="34">
        <f t="shared" si="141"/>
        <v>160037200</v>
      </c>
      <c r="J164" s="34">
        <f t="shared" si="141"/>
        <v>93449034.660000011</v>
      </c>
      <c r="K164" s="34">
        <f t="shared" si="141"/>
        <v>6223458.5800000001</v>
      </c>
      <c r="L164" s="34">
        <f t="shared" si="141"/>
        <v>9410290.7999999989</v>
      </c>
      <c r="M164" s="156">
        <f t="shared" si="122"/>
        <v>17.618149181206675</v>
      </c>
      <c r="N164" s="34">
        <f t="shared" si="141"/>
        <v>162212568.90000001</v>
      </c>
      <c r="O164" s="34">
        <f t="shared" si="141"/>
        <v>154025899</v>
      </c>
      <c r="P164" s="34">
        <f t="shared" si="141"/>
        <v>1612200</v>
      </c>
      <c r="Q164" s="34">
        <f t="shared" si="141"/>
        <v>0</v>
      </c>
      <c r="R164" s="34">
        <f t="shared" si="141"/>
        <v>0</v>
      </c>
      <c r="S164" s="34">
        <f t="shared" si="141"/>
        <v>160600368.90000001</v>
      </c>
      <c r="T164" s="34">
        <f t="shared" si="141"/>
        <v>3339808.62</v>
      </c>
      <c r="U164" s="34">
        <f t="shared" si="141"/>
        <v>1884308.62</v>
      </c>
      <c r="V164" s="34">
        <f t="shared" si="141"/>
        <v>50000</v>
      </c>
      <c r="W164" s="34">
        <f t="shared" si="141"/>
        <v>40983.599999999999</v>
      </c>
      <c r="X164" s="34">
        <f t="shared" si="141"/>
        <v>0</v>
      </c>
      <c r="Y164" s="34">
        <f t="shared" si="141"/>
        <v>3289808.62</v>
      </c>
      <c r="Z164" s="156">
        <f t="shared" si="134"/>
        <v>2.0589086546424826</v>
      </c>
      <c r="AA164" s="34">
        <f t="shared" si="141"/>
        <v>96788843.280000016</v>
      </c>
      <c r="AB164" s="34">
        <f t="shared" ref="AB164" si="142">AB165</f>
        <v>692626028.89999998</v>
      </c>
      <c r="AC164" s="205"/>
      <c r="AD164" s="35"/>
    </row>
    <row r="165" spans="1:30" s="20" customFormat="1" ht="35.85" customHeight="1" x14ac:dyDescent="0.25">
      <c r="A165" s="36" t="s">
        <v>162</v>
      </c>
      <c r="B165" s="48"/>
      <c r="C165" s="48"/>
      <c r="D165" s="38" t="s">
        <v>478</v>
      </c>
      <c r="E165" s="39">
        <f>E168+E169+E170+E171+E173+E174+E175+E176+E181+E188+E189+E190+E193+E194+E191+E192+E178+E184+E186+E187+E177+E172+E185+E182+E179</f>
        <v>530413460</v>
      </c>
      <c r="F165" s="39">
        <f t="shared" ref="F165:AA165" si="143">F168+F169+F170+F171+F173+F174+F175+F176+F181+F188+F189+F190+F193+F194+F191+F192+F178+F184+F186+F187+F177+F172+F185+F182+F179</f>
        <v>370376260</v>
      </c>
      <c r="G165" s="39">
        <f t="shared" si="143"/>
        <v>23787200</v>
      </c>
      <c r="H165" s="39">
        <f t="shared" si="143"/>
        <v>55799100</v>
      </c>
      <c r="I165" s="39">
        <f t="shared" si="143"/>
        <v>160037200</v>
      </c>
      <c r="J165" s="39">
        <f t="shared" si="143"/>
        <v>93449034.660000011</v>
      </c>
      <c r="K165" s="39">
        <f t="shared" si="143"/>
        <v>6223458.5800000001</v>
      </c>
      <c r="L165" s="39">
        <f t="shared" si="143"/>
        <v>9410290.7999999989</v>
      </c>
      <c r="M165" s="157">
        <f t="shared" si="122"/>
        <v>17.618149181206675</v>
      </c>
      <c r="N165" s="39">
        <f t="shared" si="143"/>
        <v>162212568.90000001</v>
      </c>
      <c r="O165" s="39">
        <f t="shared" si="143"/>
        <v>154025899</v>
      </c>
      <c r="P165" s="39">
        <f t="shared" si="143"/>
        <v>1612200</v>
      </c>
      <c r="Q165" s="39">
        <f t="shared" si="143"/>
        <v>0</v>
      </c>
      <c r="R165" s="39">
        <f t="shared" si="143"/>
        <v>0</v>
      </c>
      <c r="S165" s="39">
        <f t="shared" si="143"/>
        <v>160600368.90000001</v>
      </c>
      <c r="T165" s="39">
        <f t="shared" si="143"/>
        <v>3339808.62</v>
      </c>
      <c r="U165" s="39">
        <f t="shared" si="143"/>
        <v>1884308.62</v>
      </c>
      <c r="V165" s="39">
        <f t="shared" si="143"/>
        <v>50000</v>
      </c>
      <c r="W165" s="39">
        <f t="shared" si="143"/>
        <v>40983.599999999999</v>
      </c>
      <c r="X165" s="39">
        <f t="shared" si="143"/>
        <v>0</v>
      </c>
      <c r="Y165" s="39">
        <f t="shared" si="143"/>
        <v>3289808.62</v>
      </c>
      <c r="Z165" s="157">
        <f t="shared" si="134"/>
        <v>2.0589086546424826</v>
      </c>
      <c r="AA165" s="39">
        <f t="shared" si="143"/>
        <v>96788843.280000016</v>
      </c>
      <c r="AB165" s="39">
        <f t="shared" ref="AB165" si="144">AB168+AB169+AB170+AB171+AB173+AB174+AB175+AB176+AB181+AB188+AB189+AB190+AB193+AB194+AB191+AB192+AB178+AB184+AB186+AB187+AB177+AB172+AB185+AB182+AB179</f>
        <v>692626028.89999998</v>
      </c>
      <c r="AC165" s="205"/>
      <c r="AD165" s="40"/>
    </row>
    <row r="166" spans="1:30" s="20" customFormat="1" ht="102" customHeight="1" x14ac:dyDescent="0.25">
      <c r="A166" s="36"/>
      <c r="B166" s="48"/>
      <c r="C166" s="48"/>
      <c r="D166" s="38" t="str">
        <f>D180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66" s="39">
        <f>E180</f>
        <v>0</v>
      </c>
      <c r="F166" s="39">
        <f t="shared" ref="F166:AA166" si="145">F180</f>
        <v>0</v>
      </c>
      <c r="G166" s="39">
        <f t="shared" si="145"/>
        <v>0</v>
      </c>
      <c r="H166" s="39">
        <f t="shared" si="145"/>
        <v>0</v>
      </c>
      <c r="I166" s="39">
        <f t="shared" si="145"/>
        <v>0</v>
      </c>
      <c r="J166" s="39">
        <f t="shared" si="145"/>
        <v>0</v>
      </c>
      <c r="K166" s="39">
        <f t="shared" si="145"/>
        <v>0</v>
      </c>
      <c r="L166" s="39">
        <f t="shared" si="145"/>
        <v>0</v>
      </c>
      <c r="M166" s="157"/>
      <c r="N166" s="39">
        <f t="shared" si="145"/>
        <v>89775000</v>
      </c>
      <c r="O166" s="39">
        <f t="shared" si="145"/>
        <v>89775000</v>
      </c>
      <c r="P166" s="39">
        <f t="shared" si="145"/>
        <v>0</v>
      </c>
      <c r="Q166" s="39">
        <f t="shared" si="145"/>
        <v>0</v>
      </c>
      <c r="R166" s="39">
        <f t="shared" si="145"/>
        <v>0</v>
      </c>
      <c r="S166" s="39">
        <f t="shared" si="145"/>
        <v>89775000</v>
      </c>
      <c r="T166" s="39">
        <f t="shared" si="145"/>
        <v>0</v>
      </c>
      <c r="U166" s="39">
        <f t="shared" si="145"/>
        <v>0</v>
      </c>
      <c r="V166" s="39">
        <f t="shared" si="145"/>
        <v>0</v>
      </c>
      <c r="W166" s="39">
        <f t="shared" si="145"/>
        <v>0</v>
      </c>
      <c r="X166" s="39">
        <f t="shared" si="145"/>
        <v>0</v>
      </c>
      <c r="Y166" s="39">
        <f t="shared" si="145"/>
        <v>0</v>
      </c>
      <c r="Z166" s="157">
        <f t="shared" si="134"/>
        <v>0</v>
      </c>
      <c r="AA166" s="39">
        <f t="shared" si="145"/>
        <v>0</v>
      </c>
      <c r="AB166" s="39">
        <f t="shared" ref="AB166" si="146">AB180</f>
        <v>89775000</v>
      </c>
      <c r="AC166" s="205"/>
      <c r="AD166" s="40"/>
    </row>
    <row r="167" spans="1:30" s="20" customFormat="1" ht="139.5" customHeight="1" x14ac:dyDescent="0.25">
      <c r="A167" s="36"/>
      <c r="B167" s="48"/>
      <c r="C167" s="48"/>
      <c r="D167" s="38" t="str">
        <f>D183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67" s="39">
        <f>E183</f>
        <v>0</v>
      </c>
      <c r="F167" s="39">
        <f t="shared" ref="F167:AA167" si="147">F183</f>
        <v>0</v>
      </c>
      <c r="G167" s="39">
        <f t="shared" si="147"/>
        <v>0</v>
      </c>
      <c r="H167" s="39">
        <f t="shared" si="147"/>
        <v>0</v>
      </c>
      <c r="I167" s="39">
        <f t="shared" si="147"/>
        <v>0</v>
      </c>
      <c r="J167" s="39">
        <f t="shared" si="147"/>
        <v>0</v>
      </c>
      <c r="K167" s="39">
        <f t="shared" si="147"/>
        <v>0</v>
      </c>
      <c r="L167" s="39">
        <f t="shared" si="147"/>
        <v>0</v>
      </c>
      <c r="M167" s="157"/>
      <c r="N167" s="39">
        <f t="shared" si="147"/>
        <v>6564069.9000000004</v>
      </c>
      <c r="O167" s="39">
        <f t="shared" si="147"/>
        <v>0</v>
      </c>
      <c r="P167" s="39">
        <f t="shared" si="147"/>
        <v>0</v>
      </c>
      <c r="Q167" s="39">
        <f t="shared" si="147"/>
        <v>0</v>
      </c>
      <c r="R167" s="39">
        <f t="shared" si="147"/>
        <v>0</v>
      </c>
      <c r="S167" s="39">
        <f t="shared" si="147"/>
        <v>6564069.9000000004</v>
      </c>
      <c r="T167" s="39">
        <f t="shared" si="147"/>
        <v>0</v>
      </c>
      <c r="U167" s="39">
        <f t="shared" si="147"/>
        <v>0</v>
      </c>
      <c r="V167" s="39">
        <f t="shared" si="147"/>
        <v>0</v>
      </c>
      <c r="W167" s="39">
        <f t="shared" si="147"/>
        <v>0</v>
      </c>
      <c r="X167" s="39">
        <f t="shared" si="147"/>
        <v>0</v>
      </c>
      <c r="Y167" s="39">
        <f t="shared" si="147"/>
        <v>0</v>
      </c>
      <c r="Z167" s="157">
        <f t="shared" si="134"/>
        <v>0</v>
      </c>
      <c r="AA167" s="39">
        <f t="shared" si="147"/>
        <v>0</v>
      </c>
      <c r="AB167" s="39">
        <f t="shared" ref="AB167" si="148">AB183</f>
        <v>6564069.9000000004</v>
      </c>
      <c r="AC167" s="205"/>
      <c r="AD167" s="40"/>
    </row>
    <row r="168" spans="1:30" s="1" customFormat="1" ht="47.25" x14ac:dyDescent="0.25">
      <c r="A168" s="41" t="s">
        <v>163</v>
      </c>
      <c r="B168" s="41" t="str">
        <f>'дод 5'!A18</f>
        <v>0160</v>
      </c>
      <c r="C168" s="41" t="str">
        <f>'дод 5'!B18</f>
        <v>0111</v>
      </c>
      <c r="D168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68" s="44">
        <f t="shared" ref="E168:E194" si="149">F168+I168</f>
        <v>30674300</v>
      </c>
      <c r="F168" s="44">
        <f>30800100+367200-100000-393000</f>
        <v>30674300</v>
      </c>
      <c r="G168" s="44">
        <f>24109300-322100</f>
        <v>23787200</v>
      </c>
      <c r="H168" s="44">
        <v>593100</v>
      </c>
      <c r="I168" s="44"/>
      <c r="J168" s="44">
        <v>7883629.6699999999</v>
      </c>
      <c r="K168" s="44">
        <v>6223458.5800000001</v>
      </c>
      <c r="L168" s="44">
        <v>137850.94</v>
      </c>
      <c r="M168" s="158">
        <f t="shared" si="122"/>
        <v>25.701090717636589</v>
      </c>
      <c r="N168" s="44">
        <f>P168+S168</f>
        <v>0</v>
      </c>
      <c r="O168" s="44"/>
      <c r="P168" s="44"/>
      <c r="Q168" s="44"/>
      <c r="R168" s="44"/>
      <c r="S168" s="44"/>
      <c r="T168" s="44">
        <f t="shared" si="123"/>
        <v>0</v>
      </c>
      <c r="U168" s="44"/>
      <c r="V168" s="44"/>
      <c r="W168" s="44"/>
      <c r="X168" s="44"/>
      <c r="Y168" s="44"/>
      <c r="Z168" s="158"/>
      <c r="AA168" s="44">
        <f t="shared" si="124"/>
        <v>7883629.6699999999</v>
      </c>
      <c r="AB168" s="44">
        <f t="shared" ref="AB168:AB194" si="150">E168+N168</f>
        <v>30674300</v>
      </c>
      <c r="AC168" s="205"/>
      <c r="AD168" s="45"/>
    </row>
    <row r="169" spans="1:30" s="1" customFormat="1" ht="23.25" hidden="1" customHeight="1" x14ac:dyDescent="0.25">
      <c r="A169" s="41" t="s">
        <v>321</v>
      </c>
      <c r="B169" s="41" t="str">
        <f>'дод 5'!A19</f>
        <v>0180</v>
      </c>
      <c r="C169" s="41" t="str">
        <f>'дод 5'!B19</f>
        <v>0133</v>
      </c>
      <c r="D169" s="58" t="str">
        <f>'дод 5'!C19</f>
        <v>Інша діяльність у сфері державного управління</v>
      </c>
      <c r="E169" s="44">
        <f t="shared" si="149"/>
        <v>0</v>
      </c>
      <c r="F169" s="44"/>
      <c r="G169" s="44"/>
      <c r="H169" s="44"/>
      <c r="I169" s="44"/>
      <c r="J169" s="44"/>
      <c r="K169" s="44"/>
      <c r="L169" s="44"/>
      <c r="M169" s="158" t="e">
        <f t="shared" si="122"/>
        <v>#DIV/0!</v>
      </c>
      <c r="N169" s="44">
        <f>P169+S169</f>
        <v>0</v>
      </c>
      <c r="O169" s="44"/>
      <c r="P169" s="44"/>
      <c r="Q169" s="44"/>
      <c r="R169" s="44"/>
      <c r="S169" s="44"/>
      <c r="T169" s="44">
        <f t="shared" si="123"/>
        <v>0</v>
      </c>
      <c r="U169" s="44"/>
      <c r="V169" s="44"/>
      <c r="W169" s="44"/>
      <c r="X169" s="44"/>
      <c r="Y169" s="44"/>
      <c r="Z169" s="158"/>
      <c r="AA169" s="44">
        <f t="shared" si="124"/>
        <v>0</v>
      </c>
      <c r="AB169" s="44">
        <f t="shared" si="150"/>
        <v>0</v>
      </c>
      <c r="AC169" s="205"/>
      <c r="AD169" s="45"/>
    </row>
    <row r="170" spans="1:30" s="1" customFormat="1" ht="24.75" customHeight="1" x14ac:dyDescent="0.25">
      <c r="A170" s="41" t="s">
        <v>236</v>
      </c>
      <c r="B170" s="42" t="str">
        <f>'дод 5'!A115</f>
        <v>3210</v>
      </c>
      <c r="C170" s="42" t="str">
        <f>'дод 5'!B115</f>
        <v>1050</v>
      </c>
      <c r="D170" s="43" t="str">
        <f>'дод 5'!C115</f>
        <v>Організація та проведення громадських робіт</v>
      </c>
      <c r="E170" s="44">
        <f t="shared" si="149"/>
        <v>100000</v>
      </c>
      <c r="F170" s="44">
        <v>100000</v>
      </c>
      <c r="G170" s="44"/>
      <c r="H170" s="44"/>
      <c r="I170" s="44"/>
      <c r="J170" s="44"/>
      <c r="K170" s="44"/>
      <c r="L170" s="44"/>
      <c r="M170" s="158">
        <f t="shared" si="122"/>
        <v>0</v>
      </c>
      <c r="N170" s="44">
        <f t="shared" ref="N170:N194" si="151">P170+S170</f>
        <v>0</v>
      </c>
      <c r="O170" s="44"/>
      <c r="P170" s="44"/>
      <c r="Q170" s="44"/>
      <c r="R170" s="44"/>
      <c r="S170" s="44"/>
      <c r="T170" s="44">
        <f t="shared" si="123"/>
        <v>50000</v>
      </c>
      <c r="U170" s="44"/>
      <c r="V170" s="44">
        <v>50000</v>
      </c>
      <c r="W170" s="44">
        <v>40983.599999999999</v>
      </c>
      <c r="X170" s="44"/>
      <c r="Y170" s="44"/>
      <c r="Z170" s="158"/>
      <c r="AA170" s="44">
        <f t="shared" si="124"/>
        <v>50000</v>
      </c>
      <c r="AB170" s="44">
        <f t="shared" si="150"/>
        <v>100000</v>
      </c>
      <c r="AC170" s="205"/>
      <c r="AD170" s="45"/>
    </row>
    <row r="171" spans="1:30" s="1" customFormat="1" ht="37.5" customHeight="1" x14ac:dyDescent="0.25">
      <c r="A171" s="41" t="s">
        <v>164</v>
      </c>
      <c r="B171" s="42" t="str">
        <f>'дод 5'!A135</f>
        <v>6013</v>
      </c>
      <c r="C171" s="42" t="str">
        <f>'дод 5'!B135</f>
        <v>0620</v>
      </c>
      <c r="D171" s="43" t="str">
        <f>'дод 5'!C135</f>
        <v>Забезпечення діяльності водопровідно-каналізаційного господарства</v>
      </c>
      <c r="E171" s="44">
        <f t="shared" si="149"/>
        <v>61005000</v>
      </c>
      <c r="F171" s="44">
        <v>1005000</v>
      </c>
      <c r="G171" s="44"/>
      <c r="H171" s="44"/>
      <c r="I171" s="44">
        <v>60000000</v>
      </c>
      <c r="J171" s="44">
        <v>30448481.57</v>
      </c>
      <c r="K171" s="44"/>
      <c r="L171" s="44"/>
      <c r="M171" s="158">
        <f t="shared" si="122"/>
        <v>49.911452454716823</v>
      </c>
      <c r="N171" s="44">
        <f t="shared" si="151"/>
        <v>0</v>
      </c>
      <c r="O171" s="44"/>
      <c r="P171" s="44"/>
      <c r="Q171" s="44"/>
      <c r="R171" s="44"/>
      <c r="S171" s="44"/>
      <c r="T171" s="44">
        <f t="shared" si="123"/>
        <v>0</v>
      </c>
      <c r="U171" s="44"/>
      <c r="V171" s="44"/>
      <c r="W171" s="44"/>
      <c r="X171" s="44"/>
      <c r="Y171" s="44"/>
      <c r="Z171" s="158"/>
      <c r="AA171" s="44">
        <f t="shared" si="124"/>
        <v>30448481.57</v>
      </c>
      <c r="AB171" s="44">
        <f t="shared" si="150"/>
        <v>61005000</v>
      </c>
      <c r="AC171" s="205"/>
      <c r="AD171" s="45"/>
    </row>
    <row r="172" spans="1:30" s="1" customFormat="1" ht="23.25" customHeight="1" x14ac:dyDescent="0.25">
      <c r="A172" s="41" t="s">
        <v>379</v>
      </c>
      <c r="B172" s="42">
        <f>'дод 5'!A136</f>
        <v>6014</v>
      </c>
      <c r="C172" s="42" t="str">
        <f>'дод 5'!B136</f>
        <v>0620</v>
      </c>
      <c r="D172" s="46" t="str">
        <f>'дод 5'!C136</f>
        <v>Забезпечення збору та вивезення сміття і відходів</v>
      </c>
      <c r="E172" s="44">
        <f t="shared" ref="E172" si="152">F172+I172</f>
        <v>6500000</v>
      </c>
      <c r="F172" s="44">
        <v>6500000</v>
      </c>
      <c r="G172" s="44"/>
      <c r="H172" s="44"/>
      <c r="I172" s="44"/>
      <c r="J172" s="44"/>
      <c r="K172" s="44"/>
      <c r="L172" s="44"/>
      <c r="M172" s="158">
        <f t="shared" si="122"/>
        <v>0</v>
      </c>
      <c r="N172" s="44">
        <f t="shared" ref="N172" si="153">P172+S172</f>
        <v>0</v>
      </c>
      <c r="O172" s="44"/>
      <c r="P172" s="44"/>
      <c r="Q172" s="44"/>
      <c r="R172" s="44"/>
      <c r="S172" s="44"/>
      <c r="T172" s="44">
        <f t="shared" si="123"/>
        <v>0</v>
      </c>
      <c r="U172" s="44"/>
      <c r="V172" s="44"/>
      <c r="W172" s="44"/>
      <c r="X172" s="44"/>
      <c r="Y172" s="44"/>
      <c r="Z172" s="158"/>
      <c r="AA172" s="44">
        <f t="shared" si="124"/>
        <v>0</v>
      </c>
      <c r="AB172" s="44">
        <f t="shared" ref="AB172" si="154">E172+N172</f>
        <v>6500000</v>
      </c>
      <c r="AC172" s="205"/>
      <c r="AD172" s="45"/>
    </row>
    <row r="173" spans="1:30" s="1" customFormat="1" ht="32.25" customHeight="1" x14ac:dyDescent="0.25">
      <c r="A173" s="41" t="s">
        <v>213</v>
      </c>
      <c r="B173" s="42" t="str">
        <f>'дод 5'!A137</f>
        <v>6017</v>
      </c>
      <c r="C173" s="42" t="str">
        <f>'дод 5'!B137</f>
        <v>0620</v>
      </c>
      <c r="D173" s="43" t="str">
        <f>'дод 5'!C137</f>
        <v>Інша діяльність, пов’язана з експлуатацією об’єктів житлово-комунального господарства</v>
      </c>
      <c r="E173" s="44">
        <f t="shared" si="149"/>
        <v>400000</v>
      </c>
      <c r="F173" s="44">
        <v>400000</v>
      </c>
      <c r="G173" s="44"/>
      <c r="H173" s="44"/>
      <c r="I173" s="44"/>
      <c r="J173" s="44">
        <v>39029.42</v>
      </c>
      <c r="K173" s="44"/>
      <c r="L173" s="44"/>
      <c r="M173" s="158">
        <f t="shared" si="122"/>
        <v>9.7573549999999987</v>
      </c>
      <c r="N173" s="44">
        <f t="shared" si="151"/>
        <v>0</v>
      </c>
      <c r="O173" s="44"/>
      <c r="P173" s="44"/>
      <c r="Q173" s="44"/>
      <c r="R173" s="44"/>
      <c r="S173" s="44"/>
      <c r="T173" s="44">
        <f t="shared" si="123"/>
        <v>0</v>
      </c>
      <c r="U173" s="44"/>
      <c r="V173" s="44"/>
      <c r="W173" s="44"/>
      <c r="X173" s="44"/>
      <c r="Y173" s="44"/>
      <c r="Z173" s="158"/>
      <c r="AA173" s="44">
        <f t="shared" si="124"/>
        <v>39029.42</v>
      </c>
      <c r="AB173" s="44">
        <f t="shared" si="150"/>
        <v>400000</v>
      </c>
      <c r="AC173" s="205"/>
      <c r="AD173" s="45"/>
    </row>
    <row r="174" spans="1:30" s="1" customFormat="1" ht="63.75" customHeight="1" x14ac:dyDescent="0.25">
      <c r="A174" s="41" t="s">
        <v>165</v>
      </c>
      <c r="B174" s="42" t="str">
        <f>'дод 5'!A138</f>
        <v>6020</v>
      </c>
      <c r="C174" s="42" t="str">
        <f>'дод 5'!B138</f>
        <v>0620</v>
      </c>
      <c r="D174" s="43" t="str">
        <f>'дод 5'!C138</f>
        <v>Забезпечення функціонування підприємств, установ та організацій, що виробляють, виконують та/або надають житлово-комунальні послуги</v>
      </c>
      <c r="E174" s="44">
        <f t="shared" si="149"/>
        <v>2785000</v>
      </c>
      <c r="F174" s="44"/>
      <c r="G174" s="44"/>
      <c r="H174" s="44"/>
      <c r="I174" s="44">
        <v>2785000</v>
      </c>
      <c r="J174" s="44">
        <v>508282.2</v>
      </c>
      <c r="K174" s="44"/>
      <c r="L174" s="44"/>
      <c r="M174" s="158">
        <f t="shared" si="122"/>
        <v>18.25070736086176</v>
      </c>
      <c r="N174" s="44">
        <f t="shared" si="151"/>
        <v>0</v>
      </c>
      <c r="O174" s="44"/>
      <c r="P174" s="44"/>
      <c r="Q174" s="44"/>
      <c r="R174" s="44"/>
      <c r="S174" s="44"/>
      <c r="T174" s="44">
        <f t="shared" si="123"/>
        <v>0</v>
      </c>
      <c r="U174" s="44"/>
      <c r="V174" s="44"/>
      <c r="W174" s="44"/>
      <c r="X174" s="44"/>
      <c r="Y174" s="44"/>
      <c r="Z174" s="158"/>
      <c r="AA174" s="44">
        <f t="shared" si="124"/>
        <v>508282.2</v>
      </c>
      <c r="AB174" s="44">
        <f t="shared" si="150"/>
        <v>2785000</v>
      </c>
      <c r="AC174" s="205"/>
      <c r="AD174" s="45"/>
    </row>
    <row r="175" spans="1:30" s="1" customFormat="1" ht="24.75" customHeight="1" x14ac:dyDescent="0.25">
      <c r="A175" s="41" t="s">
        <v>166</v>
      </c>
      <c r="B175" s="42" t="str">
        <f>'дод 5'!A139</f>
        <v>6030</v>
      </c>
      <c r="C175" s="42" t="str">
        <f>'дод 5'!B139</f>
        <v>0620</v>
      </c>
      <c r="D175" s="43" t="str">
        <f>'дод 5'!C139</f>
        <v>Організація благоустрою населених пунктів</v>
      </c>
      <c r="E175" s="44">
        <f t="shared" si="149"/>
        <v>295423600</v>
      </c>
      <c r="F175" s="44">
        <f>294490800+1000000-1000000-367200+100000</f>
        <v>294223600</v>
      </c>
      <c r="G175" s="44"/>
      <c r="H175" s="44">
        <f>60350000-5000000-150000</f>
        <v>55200000</v>
      </c>
      <c r="I175" s="44">
        <f>200000+1000000</f>
        <v>1200000</v>
      </c>
      <c r="J175" s="44">
        <v>35411565.869999997</v>
      </c>
      <c r="K175" s="44"/>
      <c r="L175" s="44">
        <v>9272355.6999999993</v>
      </c>
      <c r="M175" s="158">
        <f t="shared" si="122"/>
        <v>11.986708533102973</v>
      </c>
      <c r="N175" s="44">
        <f t="shared" si="151"/>
        <v>0</v>
      </c>
      <c r="O175" s="44"/>
      <c r="P175" s="44"/>
      <c r="Q175" s="44"/>
      <c r="R175" s="44"/>
      <c r="S175" s="44"/>
      <c r="T175" s="44">
        <f t="shared" si="123"/>
        <v>0</v>
      </c>
      <c r="U175" s="44"/>
      <c r="V175" s="44"/>
      <c r="W175" s="44"/>
      <c r="X175" s="44"/>
      <c r="Y175" s="44"/>
      <c r="Z175" s="158"/>
      <c r="AA175" s="44">
        <f t="shared" si="124"/>
        <v>35411565.869999997</v>
      </c>
      <c r="AB175" s="44">
        <f t="shared" si="150"/>
        <v>295423600</v>
      </c>
      <c r="AC175" s="205"/>
      <c r="AD175" s="45"/>
    </row>
    <row r="176" spans="1:30" s="1" customFormat="1" ht="34.5" customHeight="1" x14ac:dyDescent="0.25">
      <c r="A176" s="41" t="s">
        <v>210</v>
      </c>
      <c r="B176" s="42" t="str">
        <f>'дод 5'!A141</f>
        <v>6090</v>
      </c>
      <c r="C176" s="42" t="str">
        <f>'дод 5'!B141</f>
        <v>0640</v>
      </c>
      <c r="D176" s="43" t="str">
        <f>'дод 5'!C141</f>
        <v>Інша діяльність у сфері житлово-комунального господарства</v>
      </c>
      <c r="E176" s="44">
        <f t="shared" si="149"/>
        <v>2752860</v>
      </c>
      <c r="F176" s="44">
        <v>1590360</v>
      </c>
      <c r="G176" s="44"/>
      <c r="H176" s="44">
        <v>6000</v>
      </c>
      <c r="I176" s="44">
        <v>1162500</v>
      </c>
      <c r="J176" s="44">
        <v>25877.84</v>
      </c>
      <c r="K176" s="44"/>
      <c r="L176" s="44">
        <v>84.16</v>
      </c>
      <c r="M176" s="158">
        <f t="shared" si="122"/>
        <v>0.94003472751974304</v>
      </c>
      <c r="N176" s="44">
        <f t="shared" ref="N176" si="155">P176+S176</f>
        <v>0</v>
      </c>
      <c r="O176" s="44"/>
      <c r="P176" s="44"/>
      <c r="Q176" s="44"/>
      <c r="R176" s="44"/>
      <c r="S176" s="44"/>
      <c r="T176" s="44">
        <f t="shared" si="123"/>
        <v>805500</v>
      </c>
      <c r="U176" s="44"/>
      <c r="V176" s="44"/>
      <c r="W176" s="44"/>
      <c r="X176" s="44"/>
      <c r="Y176" s="44">
        <v>805500</v>
      </c>
      <c r="Z176" s="158"/>
      <c r="AA176" s="44">
        <f t="shared" si="124"/>
        <v>831377.84</v>
      </c>
      <c r="AB176" s="44">
        <f t="shared" si="150"/>
        <v>2752860</v>
      </c>
      <c r="AC176" s="205"/>
      <c r="AD176" s="45"/>
    </row>
    <row r="177" spans="1:30" s="18" customFormat="1" ht="37.5" customHeight="1" x14ac:dyDescent="0.25">
      <c r="A177" s="41" t="s">
        <v>390</v>
      </c>
      <c r="B177" s="42">
        <f>'дод 5'!A142</f>
        <v>6091</v>
      </c>
      <c r="C177" s="42" t="str">
        <f>'дод 5'!B142</f>
        <v>0640</v>
      </c>
      <c r="D177" s="43" t="str">
        <f>'дод 5'!C142</f>
        <v>Будівництво1 об'єктів житлово-комунального господарства</v>
      </c>
      <c r="E177" s="44">
        <f>F177+I177</f>
        <v>0</v>
      </c>
      <c r="F177" s="44"/>
      <c r="G177" s="44"/>
      <c r="H177" s="44"/>
      <c r="I177" s="44"/>
      <c r="J177" s="44"/>
      <c r="K177" s="44"/>
      <c r="L177" s="44"/>
      <c r="M177" s="158"/>
      <c r="N177" s="44">
        <f t="shared" ref="N177" si="156">P177+S177</f>
        <v>14230307</v>
      </c>
      <c r="O177" s="44">
        <f>14083307+147000</f>
        <v>14230307</v>
      </c>
      <c r="P177" s="44"/>
      <c r="Q177" s="44"/>
      <c r="R177" s="44"/>
      <c r="S177" s="44">
        <f>14083307+147000</f>
        <v>14230307</v>
      </c>
      <c r="T177" s="44">
        <f t="shared" si="123"/>
        <v>1213113.78</v>
      </c>
      <c r="U177" s="44">
        <v>1213113.78</v>
      </c>
      <c r="V177" s="44"/>
      <c r="W177" s="44"/>
      <c r="X177" s="44"/>
      <c r="Y177" s="44">
        <v>1213113.78</v>
      </c>
      <c r="Z177" s="158">
        <f t="shared" si="134"/>
        <v>8.5248602155947868</v>
      </c>
      <c r="AA177" s="44">
        <f t="shared" si="124"/>
        <v>1213113.78</v>
      </c>
      <c r="AB177" s="44">
        <f t="shared" ref="AB177" si="157">E177+N177</f>
        <v>14230307</v>
      </c>
      <c r="AC177" s="205"/>
      <c r="AD177" s="45"/>
    </row>
    <row r="178" spans="1:30" s="1" customFormat="1" ht="69.75" customHeight="1" x14ac:dyDescent="0.25">
      <c r="A178" s="41" t="s">
        <v>380</v>
      </c>
      <c r="B178" s="42">
        <f>'дод 5'!A143</f>
        <v>6092</v>
      </c>
      <c r="C178" s="42" t="str">
        <f>'дод 5'!B143</f>
        <v>0610</v>
      </c>
      <c r="D178" s="46" t="str">
        <f>'дод 5'!C143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v>
      </c>
      <c r="E178" s="44">
        <f t="shared" ref="E178:E183" si="158">F178+I178</f>
        <v>4000000</v>
      </c>
      <c r="F178" s="44">
        <f>10000000-6000000</f>
        <v>4000000</v>
      </c>
      <c r="G178" s="44"/>
      <c r="H178" s="44"/>
      <c r="I178" s="44"/>
      <c r="J178" s="44"/>
      <c r="K178" s="44"/>
      <c r="L178" s="44"/>
      <c r="M178" s="158">
        <f t="shared" si="122"/>
        <v>0</v>
      </c>
      <c r="N178" s="44">
        <f t="shared" ref="N178:N180" si="159">P178+S178</f>
        <v>16000000</v>
      </c>
      <c r="O178" s="44">
        <f>6000000+10000000</f>
        <v>16000000</v>
      </c>
      <c r="P178" s="44"/>
      <c r="Q178" s="44"/>
      <c r="R178" s="44"/>
      <c r="S178" s="44">
        <f>6000000+10000000</f>
        <v>16000000</v>
      </c>
      <c r="T178" s="44">
        <f t="shared" si="123"/>
        <v>494959.68</v>
      </c>
      <c r="U178" s="44">
        <v>494959.68</v>
      </c>
      <c r="V178" s="44"/>
      <c r="W178" s="44"/>
      <c r="X178" s="44"/>
      <c r="Y178" s="44">
        <v>494959.68</v>
      </c>
      <c r="Z178" s="158">
        <f t="shared" si="134"/>
        <v>3.0934980000000003</v>
      </c>
      <c r="AA178" s="44">
        <f t="shared" si="124"/>
        <v>494959.68</v>
      </c>
      <c r="AB178" s="44">
        <f t="shared" ref="AB178:AB180" si="160">E178+N178</f>
        <v>20000000</v>
      </c>
      <c r="AC178" s="205"/>
      <c r="AD178" s="45"/>
    </row>
    <row r="179" spans="1:30" s="18" customFormat="1" ht="93.75" customHeight="1" x14ac:dyDescent="0.25">
      <c r="A179" s="41" t="s">
        <v>490</v>
      </c>
      <c r="B179" s="42">
        <f>'дод 5'!A144</f>
        <v>6094</v>
      </c>
      <c r="C179" s="42" t="str">
        <f>'дод 5'!B144</f>
        <v>0620</v>
      </c>
      <c r="D179" s="124" t="str">
        <f>'дод 5'!C144</f>
        <v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v>
      </c>
      <c r="E179" s="44">
        <f t="shared" si="158"/>
        <v>0</v>
      </c>
      <c r="F179" s="44"/>
      <c r="G179" s="44"/>
      <c r="H179" s="44"/>
      <c r="I179" s="44"/>
      <c r="J179" s="44"/>
      <c r="K179" s="44"/>
      <c r="L179" s="44"/>
      <c r="M179" s="158"/>
      <c r="N179" s="44">
        <f t="shared" si="159"/>
        <v>89775000</v>
      </c>
      <c r="O179" s="44">
        <v>89775000</v>
      </c>
      <c r="P179" s="44"/>
      <c r="Q179" s="44"/>
      <c r="R179" s="44"/>
      <c r="S179" s="44">
        <v>89775000</v>
      </c>
      <c r="T179" s="44">
        <f t="shared" si="123"/>
        <v>0</v>
      </c>
      <c r="U179" s="44"/>
      <c r="V179" s="44"/>
      <c r="W179" s="44"/>
      <c r="X179" s="44"/>
      <c r="Y179" s="44"/>
      <c r="Z179" s="158">
        <f t="shared" si="134"/>
        <v>0</v>
      </c>
      <c r="AA179" s="44">
        <f t="shared" si="124"/>
        <v>0</v>
      </c>
      <c r="AB179" s="44">
        <f t="shared" si="160"/>
        <v>89775000</v>
      </c>
      <c r="AC179" s="205"/>
      <c r="AD179" s="45"/>
    </row>
    <row r="180" spans="1:30" s="19" customFormat="1" ht="82.5" customHeight="1" x14ac:dyDescent="0.25">
      <c r="A180" s="50"/>
      <c r="B180" s="51">
        <f>'дод 5'!A145</f>
        <v>0</v>
      </c>
      <c r="C180" s="51">
        <f>'дод 5'!B145</f>
        <v>0</v>
      </c>
      <c r="D180" s="125" t="str">
        <f>'дод 5'!C145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80" s="44">
        <f t="shared" si="158"/>
        <v>0</v>
      </c>
      <c r="F180" s="53"/>
      <c r="G180" s="44"/>
      <c r="H180" s="44"/>
      <c r="I180" s="44"/>
      <c r="J180" s="44"/>
      <c r="K180" s="44"/>
      <c r="L180" s="44"/>
      <c r="M180" s="158"/>
      <c r="N180" s="44">
        <f t="shared" si="159"/>
        <v>89775000</v>
      </c>
      <c r="O180" s="44">
        <v>89775000</v>
      </c>
      <c r="P180" s="44"/>
      <c r="Q180" s="44"/>
      <c r="R180" s="44"/>
      <c r="S180" s="44">
        <v>89775000</v>
      </c>
      <c r="T180" s="44">
        <f t="shared" si="123"/>
        <v>0</v>
      </c>
      <c r="U180" s="44"/>
      <c r="V180" s="44"/>
      <c r="W180" s="44"/>
      <c r="X180" s="44"/>
      <c r="Y180" s="44"/>
      <c r="Z180" s="158">
        <f t="shared" si="134"/>
        <v>0</v>
      </c>
      <c r="AA180" s="44">
        <f t="shared" si="124"/>
        <v>0</v>
      </c>
      <c r="AB180" s="44">
        <f t="shared" si="160"/>
        <v>89775000</v>
      </c>
      <c r="AC180" s="205"/>
      <c r="AD180" s="54"/>
    </row>
    <row r="181" spans="1:30" s="18" customFormat="1" ht="30.75" customHeight="1" x14ac:dyDescent="0.25">
      <c r="A181" s="41" t="s">
        <v>220</v>
      </c>
      <c r="B181" s="42" t="str">
        <f>'дод 5'!A154</f>
        <v>7330</v>
      </c>
      <c r="C181" s="42" t="str">
        <f>'дод 5'!B154</f>
        <v>0443</v>
      </c>
      <c r="D181" s="56" t="s">
        <v>462</v>
      </c>
      <c r="E181" s="44">
        <f t="shared" si="158"/>
        <v>0</v>
      </c>
      <c r="F181" s="44"/>
      <c r="G181" s="44"/>
      <c r="H181" s="44"/>
      <c r="I181" s="44"/>
      <c r="J181" s="44"/>
      <c r="K181" s="44"/>
      <c r="L181" s="44"/>
      <c r="M181" s="158"/>
      <c r="N181" s="44">
        <f>P181+S181</f>
        <v>18034503</v>
      </c>
      <c r="O181" s="44">
        <f>10000000+8034503</f>
        <v>18034503</v>
      </c>
      <c r="P181" s="44"/>
      <c r="Q181" s="44"/>
      <c r="R181" s="44"/>
      <c r="S181" s="44">
        <f>10000000+8034503</f>
        <v>18034503</v>
      </c>
      <c r="T181" s="44">
        <f t="shared" si="123"/>
        <v>0</v>
      </c>
      <c r="U181" s="44"/>
      <c r="V181" s="44"/>
      <c r="W181" s="44"/>
      <c r="X181" s="44"/>
      <c r="Y181" s="44"/>
      <c r="Z181" s="158">
        <f t="shared" si="134"/>
        <v>0</v>
      </c>
      <c r="AA181" s="44">
        <f t="shared" si="124"/>
        <v>0</v>
      </c>
      <c r="AB181" s="44">
        <f t="shared" si="150"/>
        <v>18034503</v>
      </c>
      <c r="AC181" s="205"/>
      <c r="AD181" s="45"/>
    </row>
    <row r="182" spans="1:30" s="18" customFormat="1" ht="94.5" x14ac:dyDescent="0.25">
      <c r="A182" s="41" t="s">
        <v>477</v>
      </c>
      <c r="B182" s="42">
        <f>'дод 5'!A156</f>
        <v>7384</v>
      </c>
      <c r="C182" s="42" t="str">
        <f>'дод 5'!B156</f>
        <v>0490</v>
      </c>
      <c r="D182" s="46" t="str">
        <f>'дод 5'!C156</f>
        <v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v>
      </c>
      <c r="E182" s="44">
        <f t="shared" si="158"/>
        <v>0</v>
      </c>
      <c r="F182" s="44"/>
      <c r="G182" s="44"/>
      <c r="H182" s="44"/>
      <c r="I182" s="44"/>
      <c r="J182" s="44"/>
      <c r="K182" s="44"/>
      <c r="L182" s="44"/>
      <c r="M182" s="158"/>
      <c r="N182" s="44">
        <f t="shared" ref="N182:N183" si="161">P182+S182</f>
        <v>6564069.9000000004</v>
      </c>
      <c r="O182" s="44"/>
      <c r="P182" s="44"/>
      <c r="Q182" s="44"/>
      <c r="R182" s="44"/>
      <c r="S182" s="44">
        <v>6564069.9000000004</v>
      </c>
      <c r="T182" s="44">
        <f t="shared" si="123"/>
        <v>0</v>
      </c>
      <c r="U182" s="44"/>
      <c r="V182" s="44"/>
      <c r="W182" s="44"/>
      <c r="X182" s="44"/>
      <c r="Y182" s="44"/>
      <c r="Z182" s="158">
        <f t="shared" si="134"/>
        <v>0</v>
      </c>
      <c r="AA182" s="44">
        <f t="shared" si="124"/>
        <v>0</v>
      </c>
      <c r="AB182" s="44">
        <f t="shared" si="150"/>
        <v>6564069.9000000004</v>
      </c>
      <c r="AC182" s="205"/>
      <c r="AD182" s="45"/>
    </row>
    <row r="183" spans="1:30" s="19" customFormat="1" ht="137.25" customHeight="1" x14ac:dyDescent="0.25">
      <c r="A183" s="50"/>
      <c r="B183" s="51"/>
      <c r="C183" s="51"/>
      <c r="D183" s="52" t="str">
        <f>'дод 5'!C157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83" s="53">
        <f t="shared" si="158"/>
        <v>0</v>
      </c>
      <c r="F183" s="53"/>
      <c r="G183" s="53"/>
      <c r="H183" s="53"/>
      <c r="I183" s="53"/>
      <c r="J183" s="53"/>
      <c r="K183" s="53"/>
      <c r="L183" s="53"/>
      <c r="M183" s="159"/>
      <c r="N183" s="53">
        <f t="shared" si="161"/>
        <v>6564069.9000000004</v>
      </c>
      <c r="O183" s="53"/>
      <c r="P183" s="53"/>
      <c r="Q183" s="53"/>
      <c r="R183" s="53"/>
      <c r="S183" s="53">
        <v>6564069.9000000004</v>
      </c>
      <c r="T183" s="53">
        <f t="shared" si="123"/>
        <v>0</v>
      </c>
      <c r="U183" s="53"/>
      <c r="V183" s="53"/>
      <c r="W183" s="53"/>
      <c r="X183" s="53"/>
      <c r="Y183" s="53"/>
      <c r="Z183" s="159">
        <f t="shared" si="134"/>
        <v>0</v>
      </c>
      <c r="AA183" s="53">
        <f t="shared" si="124"/>
        <v>0</v>
      </c>
      <c r="AB183" s="53">
        <f t="shared" si="150"/>
        <v>6564069.9000000004</v>
      </c>
      <c r="AC183" s="205"/>
      <c r="AD183" s="54"/>
    </row>
    <row r="184" spans="1:30" s="2" customFormat="1" ht="54.75" customHeight="1" x14ac:dyDescent="0.25">
      <c r="A184" s="41" t="s">
        <v>381</v>
      </c>
      <c r="B184" s="42" t="str">
        <f>'дод 5'!A159</f>
        <v>7412</v>
      </c>
      <c r="C184" s="42" t="str">
        <f>'дод 5'!B159</f>
        <v>0451</v>
      </c>
      <c r="D184" s="46" t="str">
        <f>'дод 5'!C159</f>
        <v>Регулювання цін на послуги місцевого автотранспорту</v>
      </c>
      <c r="E184" s="44">
        <f t="shared" ref="E184:E185" si="162">F184+I184</f>
        <v>29059700</v>
      </c>
      <c r="F184" s="44"/>
      <c r="G184" s="44"/>
      <c r="H184" s="44"/>
      <c r="I184" s="44">
        <v>29059700</v>
      </c>
      <c r="J184" s="44">
        <v>5715758</v>
      </c>
      <c r="K184" s="44"/>
      <c r="L184" s="44"/>
      <c r="M184" s="158">
        <f t="shared" si="122"/>
        <v>19.669019294762162</v>
      </c>
      <c r="N184" s="44">
        <f t="shared" ref="N184:N185" si="163">P184+S184</f>
        <v>0</v>
      </c>
      <c r="O184" s="44"/>
      <c r="P184" s="44"/>
      <c r="Q184" s="44"/>
      <c r="R184" s="44"/>
      <c r="S184" s="44"/>
      <c r="T184" s="44">
        <f t="shared" si="123"/>
        <v>0</v>
      </c>
      <c r="U184" s="44"/>
      <c r="V184" s="44"/>
      <c r="W184" s="44"/>
      <c r="X184" s="44"/>
      <c r="Y184" s="44"/>
      <c r="Z184" s="158"/>
      <c r="AA184" s="44">
        <f t="shared" si="124"/>
        <v>5715758</v>
      </c>
      <c r="AB184" s="44">
        <f t="shared" ref="AB184:AB185" si="164">E184+N184</f>
        <v>29059700</v>
      </c>
      <c r="AC184" s="205">
        <v>9</v>
      </c>
      <c r="AD184" s="54"/>
    </row>
    <row r="185" spans="1:30" s="19" customFormat="1" ht="36.75" customHeight="1" x14ac:dyDescent="0.25">
      <c r="A185" s="41" t="s">
        <v>460</v>
      </c>
      <c r="B185" s="42">
        <f>'дод 5'!A160</f>
        <v>7422</v>
      </c>
      <c r="C185" s="42" t="str">
        <f>'дод 5'!B160</f>
        <v>0453</v>
      </c>
      <c r="D185" s="46" t="str">
        <f>'дод 5'!C160</f>
        <v>Регулювання цін на послуги місцевого наземного електротранспорту</v>
      </c>
      <c r="E185" s="44">
        <f t="shared" si="162"/>
        <v>65000000</v>
      </c>
      <c r="F185" s="44"/>
      <c r="G185" s="44"/>
      <c r="H185" s="44"/>
      <c r="I185" s="44">
        <v>65000000</v>
      </c>
      <c r="J185" s="44">
        <v>11547916</v>
      </c>
      <c r="K185" s="44"/>
      <c r="L185" s="44"/>
      <c r="M185" s="158">
        <f t="shared" si="122"/>
        <v>17.766024615384616</v>
      </c>
      <c r="N185" s="44">
        <f t="shared" si="163"/>
        <v>0</v>
      </c>
      <c r="O185" s="44"/>
      <c r="P185" s="44"/>
      <c r="Q185" s="44"/>
      <c r="R185" s="44"/>
      <c r="S185" s="44"/>
      <c r="T185" s="44">
        <f t="shared" si="123"/>
        <v>0</v>
      </c>
      <c r="U185" s="44"/>
      <c r="V185" s="44"/>
      <c r="W185" s="44"/>
      <c r="X185" s="44"/>
      <c r="Y185" s="44"/>
      <c r="Z185" s="158"/>
      <c r="AA185" s="44">
        <f t="shared" si="124"/>
        <v>11547916</v>
      </c>
      <c r="AB185" s="44">
        <f t="shared" si="164"/>
        <v>65000000</v>
      </c>
      <c r="AC185" s="205"/>
      <c r="AD185" s="54"/>
    </row>
    <row r="186" spans="1:30" s="54" customFormat="1" ht="50.25" hidden="1" customHeight="1" x14ac:dyDescent="0.25">
      <c r="A186" s="41" t="s">
        <v>386</v>
      </c>
      <c r="B186" s="42">
        <f>'дод 5'!A161</f>
        <v>7426</v>
      </c>
      <c r="C186" s="42" t="str">
        <f>'дод 5'!B161</f>
        <v>0455</v>
      </c>
      <c r="D186" s="46" t="str">
        <f>'дод 5'!C161</f>
        <v>Інші заходи у сфері електротранспорту</v>
      </c>
      <c r="E186" s="44">
        <f t="shared" ref="E186:E187" si="165">F186+I186</f>
        <v>0</v>
      </c>
      <c r="F186" s="44">
        <f>65000000-65000000</f>
        <v>0</v>
      </c>
      <c r="G186" s="44"/>
      <c r="H186" s="44"/>
      <c r="I186" s="44"/>
      <c r="J186" s="44"/>
      <c r="K186" s="44"/>
      <c r="L186" s="44"/>
      <c r="M186" s="158" t="e">
        <f t="shared" si="122"/>
        <v>#DIV/0!</v>
      </c>
      <c r="N186" s="44">
        <f t="shared" ref="N186:N187" si="166">P186+S186</f>
        <v>0</v>
      </c>
      <c r="O186" s="44"/>
      <c r="P186" s="44"/>
      <c r="Q186" s="44"/>
      <c r="R186" s="44"/>
      <c r="S186" s="44"/>
      <c r="T186" s="44">
        <f t="shared" si="123"/>
        <v>0</v>
      </c>
      <c r="U186" s="44"/>
      <c r="V186" s="44"/>
      <c r="W186" s="44"/>
      <c r="X186" s="44"/>
      <c r="Y186" s="44"/>
      <c r="Z186" s="158"/>
      <c r="AA186" s="44">
        <f t="shared" si="124"/>
        <v>0</v>
      </c>
      <c r="AB186" s="44">
        <f t="shared" ref="AB186:AB187" si="167">E186+N186</f>
        <v>0</v>
      </c>
      <c r="AC186" s="205"/>
    </row>
    <row r="187" spans="1:30" s="2" customFormat="1" ht="41.25" hidden="1" customHeight="1" x14ac:dyDescent="0.25">
      <c r="A187" s="41" t="s">
        <v>382</v>
      </c>
      <c r="B187" s="42">
        <f>'дод 5'!A162</f>
        <v>7450</v>
      </c>
      <c r="C187" s="42" t="str">
        <f>'дод 5'!B162</f>
        <v>0456</v>
      </c>
      <c r="D187" s="46" t="str">
        <f>'дод 5'!C162</f>
        <v>Інша діяльність у сфері транспорту</v>
      </c>
      <c r="E187" s="44">
        <f t="shared" si="165"/>
        <v>984000</v>
      </c>
      <c r="F187" s="44">
        <v>984000</v>
      </c>
      <c r="G187" s="44"/>
      <c r="H187" s="44"/>
      <c r="I187" s="44"/>
      <c r="J187" s="44"/>
      <c r="K187" s="44"/>
      <c r="L187" s="44"/>
      <c r="M187" s="158">
        <f t="shared" si="122"/>
        <v>0</v>
      </c>
      <c r="N187" s="44">
        <f t="shared" si="166"/>
        <v>0</v>
      </c>
      <c r="O187" s="44"/>
      <c r="P187" s="44"/>
      <c r="Q187" s="44"/>
      <c r="R187" s="44"/>
      <c r="S187" s="44"/>
      <c r="T187" s="44">
        <f t="shared" si="123"/>
        <v>0</v>
      </c>
      <c r="U187" s="44"/>
      <c r="V187" s="44"/>
      <c r="W187" s="44"/>
      <c r="X187" s="44"/>
      <c r="Y187" s="44"/>
      <c r="Z187" s="158"/>
      <c r="AA187" s="44">
        <f t="shared" si="124"/>
        <v>0</v>
      </c>
      <c r="AB187" s="44">
        <f t="shared" si="167"/>
        <v>984000</v>
      </c>
      <c r="AC187" s="205"/>
      <c r="AD187" s="53"/>
    </row>
    <row r="188" spans="1:30" s="1" customFormat="1" ht="20.25" customHeight="1" x14ac:dyDescent="0.25">
      <c r="A188" s="41" t="s">
        <v>167</v>
      </c>
      <c r="B188" s="42" t="str">
        <f>'дод 5'!A169</f>
        <v>7640</v>
      </c>
      <c r="C188" s="41" t="str">
        <f>'дод 5'!B169</f>
        <v>0470</v>
      </c>
      <c r="D188" s="43" t="s">
        <v>292</v>
      </c>
      <c r="E188" s="44">
        <f t="shared" si="149"/>
        <v>835000</v>
      </c>
      <c r="F188" s="44">
        <v>5000</v>
      </c>
      <c r="G188" s="44"/>
      <c r="H188" s="44"/>
      <c r="I188" s="44">
        <v>830000</v>
      </c>
      <c r="J188" s="44"/>
      <c r="K188" s="44"/>
      <c r="L188" s="44"/>
      <c r="M188" s="158">
        <f t="shared" si="122"/>
        <v>0</v>
      </c>
      <c r="N188" s="44">
        <f t="shared" si="151"/>
        <v>0</v>
      </c>
      <c r="O188" s="44"/>
      <c r="P188" s="44"/>
      <c r="Q188" s="44"/>
      <c r="R188" s="44"/>
      <c r="S188" s="44"/>
      <c r="T188" s="44">
        <f t="shared" si="123"/>
        <v>0</v>
      </c>
      <c r="U188" s="44"/>
      <c r="V188" s="44"/>
      <c r="W188" s="44"/>
      <c r="X188" s="44"/>
      <c r="Y188" s="44"/>
      <c r="Z188" s="158"/>
      <c r="AA188" s="44">
        <f t="shared" si="124"/>
        <v>0</v>
      </c>
      <c r="AB188" s="44">
        <f t="shared" si="150"/>
        <v>835000</v>
      </c>
      <c r="AC188" s="205"/>
      <c r="AD188" s="45"/>
    </row>
    <row r="189" spans="1:30" s="18" customFormat="1" ht="36.75" customHeight="1" x14ac:dyDescent="0.25">
      <c r="A189" s="41" t="s">
        <v>257</v>
      </c>
      <c r="B189" s="42" t="str">
        <f>'дод 5'!A174</f>
        <v>7670</v>
      </c>
      <c r="C189" s="41" t="str">
        <f>'дод 5'!B174</f>
        <v>0490</v>
      </c>
      <c r="D189" s="43" t="str">
        <f>'дод 5'!C174</f>
        <v>Внески до статутного капіталу суб'єктів господарювання</v>
      </c>
      <c r="E189" s="44">
        <f>F189+I189</f>
        <v>0</v>
      </c>
      <c r="F189" s="44"/>
      <c r="G189" s="44"/>
      <c r="H189" s="44"/>
      <c r="I189" s="44"/>
      <c r="J189" s="44"/>
      <c r="K189" s="44"/>
      <c r="L189" s="44"/>
      <c r="M189" s="158"/>
      <c r="N189" s="44">
        <f>P189+S189</f>
        <v>15386089</v>
      </c>
      <c r="O189" s="44">
        <f>4930625+2773202+3015602+2333330+2333330</f>
        <v>15386089</v>
      </c>
      <c r="P189" s="44"/>
      <c r="Q189" s="44"/>
      <c r="R189" s="44"/>
      <c r="S189" s="44">
        <f>4930625+2773202+3015602+2333330+2333330</f>
        <v>15386089</v>
      </c>
      <c r="T189" s="44">
        <f t="shared" si="123"/>
        <v>176235.16</v>
      </c>
      <c r="U189" s="44">
        <v>176235.16</v>
      </c>
      <c r="V189" s="44"/>
      <c r="W189" s="44"/>
      <c r="X189" s="44"/>
      <c r="Y189" s="44">
        <v>176235.16</v>
      </c>
      <c r="Z189" s="158">
        <f t="shared" si="134"/>
        <v>1.145418826057746</v>
      </c>
      <c r="AA189" s="44">
        <f t="shared" si="124"/>
        <v>176235.16</v>
      </c>
      <c r="AB189" s="44">
        <f>E189+N189</f>
        <v>15386089</v>
      </c>
      <c r="AC189" s="205"/>
      <c r="AD189" s="45"/>
    </row>
    <row r="190" spans="1:30" s="1" customFormat="1" ht="133.5" customHeight="1" x14ac:dyDescent="0.25">
      <c r="A190" s="41" t="s">
        <v>234</v>
      </c>
      <c r="B190" s="42" t="str">
        <f>'дод 5'!A176</f>
        <v>7691</v>
      </c>
      <c r="C190" s="42" t="str">
        <f>'дод 5'!B176</f>
        <v>0490</v>
      </c>
      <c r="D190" s="46" t="str">
        <f>'дод 5'!C176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90" s="44">
        <f t="shared" si="149"/>
        <v>0</v>
      </c>
      <c r="F190" s="44"/>
      <c r="G190" s="44"/>
      <c r="H190" s="44"/>
      <c r="I190" s="44"/>
      <c r="J190" s="44"/>
      <c r="K190" s="44"/>
      <c r="L190" s="44"/>
      <c r="M190" s="158"/>
      <c r="N190" s="44">
        <f t="shared" si="151"/>
        <v>65000</v>
      </c>
      <c r="O190" s="44"/>
      <c r="P190" s="44">
        <v>65000</v>
      </c>
      <c r="Q190" s="44"/>
      <c r="R190" s="44"/>
      <c r="S190" s="44"/>
      <c r="T190" s="44">
        <f t="shared" si="123"/>
        <v>0</v>
      </c>
      <c r="U190" s="44"/>
      <c r="V190" s="44"/>
      <c r="W190" s="44"/>
      <c r="X190" s="44"/>
      <c r="Y190" s="44"/>
      <c r="Z190" s="158">
        <f t="shared" si="134"/>
        <v>0</v>
      </c>
      <c r="AA190" s="44">
        <f t="shared" si="124"/>
        <v>0</v>
      </c>
      <c r="AB190" s="44">
        <f t="shared" si="150"/>
        <v>65000</v>
      </c>
      <c r="AC190" s="205"/>
      <c r="AD190" s="45"/>
    </row>
    <row r="191" spans="1:30" s="1" customFormat="1" ht="44.25" customHeight="1" x14ac:dyDescent="0.25">
      <c r="A191" s="41" t="s">
        <v>282</v>
      </c>
      <c r="B191" s="42" t="str">
        <f>'дод 5'!A182</f>
        <v>8110</v>
      </c>
      <c r="C191" s="42" t="str">
        <f>'дод 5'!B182</f>
        <v>0320</v>
      </c>
      <c r="D191" s="46" t="str">
        <f>'дод 5'!C182</f>
        <v>Заходи із запобігання та ліквідації надзвичайних ситуацій та наслідків стихійного лиха</v>
      </c>
      <c r="E191" s="44">
        <f t="shared" ref="E191:E193" si="168">F191+I191</f>
        <v>14494000</v>
      </c>
      <c r="F191" s="44">
        <v>14494000</v>
      </c>
      <c r="G191" s="44"/>
      <c r="H191" s="44"/>
      <c r="I191" s="44"/>
      <c r="J191" s="44">
        <v>1689130.67</v>
      </c>
      <c r="K191" s="44"/>
      <c r="L191" s="44"/>
      <c r="M191" s="158">
        <f t="shared" si="122"/>
        <v>11.653999379053401</v>
      </c>
      <c r="N191" s="44">
        <f>P191+S191</f>
        <v>0</v>
      </c>
      <c r="O191" s="44"/>
      <c r="P191" s="44"/>
      <c r="Q191" s="44"/>
      <c r="R191" s="44"/>
      <c r="S191" s="44"/>
      <c r="T191" s="44">
        <f t="shared" si="123"/>
        <v>600000</v>
      </c>
      <c r="U191" s="44"/>
      <c r="V191" s="44"/>
      <c r="W191" s="44"/>
      <c r="X191" s="44"/>
      <c r="Y191" s="44">
        <v>600000</v>
      </c>
      <c r="Z191" s="158"/>
      <c r="AA191" s="44">
        <f t="shared" si="124"/>
        <v>2289130.67</v>
      </c>
      <c r="AB191" s="44">
        <f t="shared" ref="AB191:AB192" si="169">E191+N191</f>
        <v>14494000</v>
      </c>
      <c r="AC191" s="205"/>
      <c r="AD191" s="45"/>
    </row>
    <row r="192" spans="1:30" s="1" customFormat="1" ht="28.5" customHeight="1" x14ac:dyDescent="0.25">
      <c r="A192" s="41" t="s">
        <v>355</v>
      </c>
      <c r="B192" s="42">
        <f>'дод 5'!A187</f>
        <v>8240</v>
      </c>
      <c r="C192" s="42" t="str">
        <f>'дод 5'!B187</f>
        <v>0380</v>
      </c>
      <c r="D192" s="46" t="str">
        <f>'дод 5'!C187</f>
        <v>Заходи та роботи з територіальної оборони</v>
      </c>
      <c r="E192" s="44">
        <f>F192+I192</f>
        <v>3000000</v>
      </c>
      <c r="F192" s="44">
        <v>3000000</v>
      </c>
      <c r="G192" s="44"/>
      <c r="H192" s="44"/>
      <c r="I192" s="44"/>
      <c r="J192" s="44">
        <v>179363.42</v>
      </c>
      <c r="K192" s="44"/>
      <c r="L192" s="44"/>
      <c r="M192" s="158">
        <f t="shared" si="122"/>
        <v>5.9787806666666672</v>
      </c>
      <c r="N192" s="44">
        <f>P192+S192</f>
        <v>0</v>
      </c>
      <c r="O192" s="44"/>
      <c r="P192" s="44"/>
      <c r="Q192" s="44"/>
      <c r="R192" s="44"/>
      <c r="S192" s="44"/>
      <c r="T192" s="44">
        <f t="shared" si="123"/>
        <v>0</v>
      </c>
      <c r="U192" s="44"/>
      <c r="V192" s="44"/>
      <c r="W192" s="44"/>
      <c r="X192" s="44"/>
      <c r="Y192" s="44"/>
      <c r="Z192" s="158"/>
      <c r="AA192" s="44">
        <f t="shared" si="124"/>
        <v>179363.42</v>
      </c>
      <c r="AB192" s="44">
        <f t="shared" si="169"/>
        <v>3000000</v>
      </c>
      <c r="AC192" s="205"/>
      <c r="AD192" s="45"/>
    </row>
    <row r="193" spans="1:30" s="45" customFormat="1" ht="31.5" customHeight="1" x14ac:dyDescent="0.25">
      <c r="A193" s="41" t="s">
        <v>168</v>
      </c>
      <c r="B193" s="42" t="str">
        <f>'дод 5'!A190</f>
        <v>8340</v>
      </c>
      <c r="C193" s="42" t="str">
        <f>'дод 5'!B190</f>
        <v>0540</v>
      </c>
      <c r="D193" s="43" t="str">
        <f>'дод 5'!C190</f>
        <v>Природоохоронні заходи за рахунок цільових фондів</v>
      </c>
      <c r="E193" s="44">
        <f t="shared" si="168"/>
        <v>0</v>
      </c>
      <c r="F193" s="44"/>
      <c r="G193" s="44"/>
      <c r="H193" s="44"/>
      <c r="I193" s="44"/>
      <c r="J193" s="44"/>
      <c r="K193" s="44"/>
      <c r="L193" s="44"/>
      <c r="M193" s="158"/>
      <c r="N193" s="44">
        <f t="shared" ref="N193" si="170">P193+S193</f>
        <v>1557600</v>
      </c>
      <c r="O193" s="44"/>
      <c r="P193" s="44">
        <f>1557600-10400</f>
        <v>1547200</v>
      </c>
      <c r="Q193" s="44"/>
      <c r="R193" s="44"/>
      <c r="S193" s="44">
        <v>10400</v>
      </c>
      <c r="T193" s="44">
        <f t="shared" si="123"/>
        <v>0</v>
      </c>
      <c r="U193" s="44"/>
      <c r="V193" s="44"/>
      <c r="W193" s="44"/>
      <c r="X193" s="44"/>
      <c r="Y193" s="44"/>
      <c r="Z193" s="158">
        <f t="shared" si="134"/>
        <v>0</v>
      </c>
      <c r="AA193" s="44">
        <f t="shared" si="124"/>
        <v>0</v>
      </c>
      <c r="AB193" s="44">
        <f t="shared" si="150"/>
        <v>1557600</v>
      </c>
      <c r="AC193" s="205"/>
    </row>
    <row r="194" spans="1:30" s="1" customFormat="1" ht="26.25" customHeight="1" x14ac:dyDescent="0.25">
      <c r="A194" s="41" t="s">
        <v>169</v>
      </c>
      <c r="B194" s="42" t="str">
        <f>'дод 5'!A196</f>
        <v>9770</v>
      </c>
      <c r="C194" s="42" t="str">
        <f>'дод 5'!B196</f>
        <v>0180</v>
      </c>
      <c r="D194" s="43" t="str">
        <f>'дод 5'!C196</f>
        <v>Інші субвенції з місцевого бюджету</v>
      </c>
      <c r="E194" s="44">
        <f t="shared" si="149"/>
        <v>13400000</v>
      </c>
      <c r="F194" s="44">
        <f>14000000-600000</f>
        <v>13400000</v>
      </c>
      <c r="G194" s="44"/>
      <c r="H194" s="44"/>
      <c r="I194" s="44"/>
      <c r="J194" s="44"/>
      <c r="K194" s="44"/>
      <c r="L194" s="44"/>
      <c r="M194" s="158">
        <f t="shared" si="122"/>
        <v>0</v>
      </c>
      <c r="N194" s="44">
        <f t="shared" si="151"/>
        <v>600000</v>
      </c>
      <c r="O194" s="44">
        <v>600000</v>
      </c>
      <c r="P194" s="44"/>
      <c r="Q194" s="44"/>
      <c r="R194" s="44"/>
      <c r="S194" s="44">
        <v>600000</v>
      </c>
      <c r="T194" s="44">
        <f t="shared" si="123"/>
        <v>0</v>
      </c>
      <c r="U194" s="44"/>
      <c r="V194" s="44"/>
      <c r="W194" s="44"/>
      <c r="X194" s="44"/>
      <c r="Y194" s="44"/>
      <c r="Z194" s="158">
        <f t="shared" si="134"/>
        <v>0</v>
      </c>
      <c r="AA194" s="44">
        <f t="shared" si="124"/>
        <v>0</v>
      </c>
      <c r="AB194" s="44">
        <f t="shared" si="150"/>
        <v>14000000</v>
      </c>
      <c r="AC194" s="205"/>
      <c r="AD194" s="45"/>
    </row>
    <row r="195" spans="1:30" s="104" customFormat="1" ht="47.25" customHeight="1" x14ac:dyDescent="0.25">
      <c r="A195" s="32" t="s">
        <v>23</v>
      </c>
      <c r="B195" s="47"/>
      <c r="C195" s="47"/>
      <c r="D195" s="33" t="s">
        <v>28</v>
      </c>
      <c r="E195" s="34">
        <f>E196</f>
        <v>6993534</v>
      </c>
      <c r="F195" s="34">
        <f t="shared" ref="F195:AA195" si="171">F196</f>
        <v>6993534</v>
      </c>
      <c r="G195" s="34">
        <f t="shared" si="171"/>
        <v>5309700</v>
      </c>
      <c r="H195" s="34">
        <f t="shared" si="171"/>
        <v>0</v>
      </c>
      <c r="I195" s="34">
        <f t="shared" si="171"/>
        <v>0</v>
      </c>
      <c r="J195" s="34">
        <f t="shared" si="171"/>
        <v>1404111.97</v>
      </c>
      <c r="K195" s="34">
        <f t="shared" si="171"/>
        <v>1162780.45</v>
      </c>
      <c r="L195" s="34">
        <f t="shared" si="171"/>
        <v>0</v>
      </c>
      <c r="M195" s="156">
        <f t="shared" si="122"/>
        <v>20.077288106413725</v>
      </c>
      <c r="N195" s="34">
        <f t="shared" si="171"/>
        <v>628428391.38999999</v>
      </c>
      <c r="O195" s="34">
        <f t="shared" si="171"/>
        <v>627686391.38999999</v>
      </c>
      <c r="P195" s="34">
        <f t="shared" si="171"/>
        <v>400000</v>
      </c>
      <c r="Q195" s="34">
        <f t="shared" si="171"/>
        <v>0</v>
      </c>
      <c r="R195" s="34">
        <f t="shared" si="171"/>
        <v>228200</v>
      </c>
      <c r="S195" s="34">
        <f t="shared" si="171"/>
        <v>628028391.38999999</v>
      </c>
      <c r="T195" s="34">
        <f t="shared" si="171"/>
        <v>12708582.09</v>
      </c>
      <c r="U195" s="34">
        <f t="shared" si="171"/>
        <v>12084563</v>
      </c>
      <c r="V195" s="34">
        <f t="shared" si="171"/>
        <v>624019.09</v>
      </c>
      <c r="W195" s="34">
        <f t="shared" si="171"/>
        <v>437914.3</v>
      </c>
      <c r="X195" s="34">
        <f t="shared" si="171"/>
        <v>55028.03</v>
      </c>
      <c r="Y195" s="34">
        <f t="shared" si="171"/>
        <v>12084563</v>
      </c>
      <c r="Z195" s="156">
        <f t="shared" si="134"/>
        <v>2.022280066292089</v>
      </c>
      <c r="AA195" s="34">
        <f t="shared" si="171"/>
        <v>14112694.060000001</v>
      </c>
      <c r="AB195" s="34">
        <f t="shared" ref="AB195" si="172">AB196</f>
        <v>635421925.38999999</v>
      </c>
      <c r="AC195" s="205"/>
      <c r="AD195" s="35"/>
    </row>
    <row r="196" spans="1:30" s="20" customFormat="1" ht="47.25" x14ac:dyDescent="0.25">
      <c r="A196" s="36" t="s">
        <v>24</v>
      </c>
      <c r="B196" s="48"/>
      <c r="C196" s="48"/>
      <c r="D196" s="38" t="s">
        <v>290</v>
      </c>
      <c r="E196" s="39">
        <f>E200+E206+E209+E204+E205+E207+E208+E201+E202</f>
        <v>6993534</v>
      </c>
      <c r="F196" s="39">
        <f t="shared" ref="F196:AA196" si="173">F200+F206+F209+F204+F205+F207+F208+F201+F202</f>
        <v>6993534</v>
      </c>
      <c r="G196" s="39">
        <f t="shared" si="173"/>
        <v>5309700</v>
      </c>
      <c r="H196" s="39">
        <f t="shared" si="173"/>
        <v>0</v>
      </c>
      <c r="I196" s="39">
        <f t="shared" si="173"/>
        <v>0</v>
      </c>
      <c r="J196" s="39">
        <f t="shared" si="173"/>
        <v>1404111.97</v>
      </c>
      <c r="K196" s="39">
        <f t="shared" si="173"/>
        <v>1162780.45</v>
      </c>
      <c r="L196" s="39">
        <f t="shared" si="173"/>
        <v>0</v>
      </c>
      <c r="M196" s="157">
        <f t="shared" si="122"/>
        <v>20.077288106413725</v>
      </c>
      <c r="N196" s="39">
        <f t="shared" si="173"/>
        <v>628428391.38999999</v>
      </c>
      <c r="O196" s="39">
        <f t="shared" si="173"/>
        <v>627686391.38999999</v>
      </c>
      <c r="P196" s="39">
        <f t="shared" si="173"/>
        <v>400000</v>
      </c>
      <c r="Q196" s="39">
        <f t="shared" si="173"/>
        <v>0</v>
      </c>
      <c r="R196" s="39">
        <f t="shared" si="173"/>
        <v>228200</v>
      </c>
      <c r="S196" s="39">
        <f t="shared" si="173"/>
        <v>628028391.38999999</v>
      </c>
      <c r="T196" s="39">
        <f t="shared" si="173"/>
        <v>12708582.09</v>
      </c>
      <c r="U196" s="39">
        <f t="shared" si="173"/>
        <v>12084563</v>
      </c>
      <c r="V196" s="39">
        <f t="shared" si="173"/>
        <v>624019.09</v>
      </c>
      <c r="W196" s="39">
        <f t="shared" si="173"/>
        <v>437914.3</v>
      </c>
      <c r="X196" s="39">
        <f t="shared" si="173"/>
        <v>55028.03</v>
      </c>
      <c r="Y196" s="39">
        <f t="shared" si="173"/>
        <v>12084563</v>
      </c>
      <c r="Z196" s="157">
        <f t="shared" si="134"/>
        <v>2.022280066292089</v>
      </c>
      <c r="AA196" s="39">
        <f t="shared" si="173"/>
        <v>14112694.060000001</v>
      </c>
      <c r="AB196" s="39">
        <f t="shared" ref="AB196" si="174">AB200+AB206+AB209+AB204+AB205+AB207+AB208+AB201+AB202</f>
        <v>635421925.38999999</v>
      </c>
      <c r="AC196" s="205"/>
      <c r="AD196" s="40"/>
    </row>
    <row r="197" spans="1:30" s="20" customFormat="1" ht="116.1" customHeight="1" x14ac:dyDescent="0.25">
      <c r="A197" s="36"/>
      <c r="B197" s="48"/>
      <c r="C197" s="48"/>
      <c r="D197" s="38" t="str">
        <f>D203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197" s="39">
        <f>E203</f>
        <v>0</v>
      </c>
      <c r="F197" s="39">
        <f t="shared" ref="F197:AA197" si="175">F203</f>
        <v>0</v>
      </c>
      <c r="G197" s="39">
        <f t="shared" si="175"/>
        <v>0</v>
      </c>
      <c r="H197" s="39">
        <f t="shared" si="175"/>
        <v>0</v>
      </c>
      <c r="I197" s="39">
        <f t="shared" si="175"/>
        <v>0</v>
      </c>
      <c r="J197" s="39">
        <f t="shared" si="175"/>
        <v>0</v>
      </c>
      <c r="K197" s="39">
        <f t="shared" si="175"/>
        <v>0</v>
      </c>
      <c r="L197" s="39">
        <f t="shared" si="175"/>
        <v>0</v>
      </c>
      <c r="M197" s="157"/>
      <c r="N197" s="39">
        <f t="shared" si="175"/>
        <v>213902286</v>
      </c>
      <c r="O197" s="39">
        <f t="shared" si="175"/>
        <v>213902286</v>
      </c>
      <c r="P197" s="39">
        <f t="shared" si="175"/>
        <v>0</v>
      </c>
      <c r="Q197" s="39">
        <f t="shared" si="175"/>
        <v>0</v>
      </c>
      <c r="R197" s="39">
        <f t="shared" si="175"/>
        <v>0</v>
      </c>
      <c r="S197" s="39">
        <f t="shared" si="175"/>
        <v>213902286</v>
      </c>
      <c r="T197" s="39">
        <f t="shared" si="175"/>
        <v>0</v>
      </c>
      <c r="U197" s="39">
        <f t="shared" si="175"/>
        <v>0</v>
      </c>
      <c r="V197" s="39">
        <f t="shared" si="175"/>
        <v>0</v>
      </c>
      <c r="W197" s="39">
        <f t="shared" si="175"/>
        <v>0</v>
      </c>
      <c r="X197" s="39">
        <f t="shared" si="175"/>
        <v>0</v>
      </c>
      <c r="Y197" s="39">
        <f t="shared" si="175"/>
        <v>0</v>
      </c>
      <c r="Z197" s="157">
        <f t="shared" si="134"/>
        <v>0</v>
      </c>
      <c r="AA197" s="39">
        <f t="shared" si="175"/>
        <v>0</v>
      </c>
      <c r="AB197" s="39">
        <f t="shared" ref="AB197" si="176">AB203</f>
        <v>213902286</v>
      </c>
      <c r="AC197" s="205"/>
      <c r="AD197" s="40"/>
    </row>
    <row r="198" spans="1:30" s="20" customFormat="1" ht="27" customHeight="1" x14ac:dyDescent="0.25">
      <c r="A198" s="36"/>
      <c r="B198" s="48"/>
      <c r="C198" s="48"/>
      <c r="D198" s="38" t="s">
        <v>289</v>
      </c>
      <c r="E198" s="39">
        <f>E210</f>
        <v>0</v>
      </c>
      <c r="F198" s="39">
        <f t="shared" ref="F198:AA198" si="177">F210</f>
        <v>0</v>
      </c>
      <c r="G198" s="39">
        <f t="shared" si="177"/>
        <v>0</v>
      </c>
      <c r="H198" s="39">
        <f t="shared" si="177"/>
        <v>0</v>
      </c>
      <c r="I198" s="39">
        <f t="shared" si="177"/>
        <v>0</v>
      </c>
      <c r="J198" s="39">
        <f t="shared" si="177"/>
        <v>0</v>
      </c>
      <c r="K198" s="39">
        <f t="shared" si="177"/>
        <v>0</v>
      </c>
      <c r="L198" s="39">
        <f t="shared" si="177"/>
        <v>0</v>
      </c>
      <c r="M198" s="157"/>
      <c r="N198" s="39">
        <f t="shared" si="177"/>
        <v>209249640</v>
      </c>
      <c r="O198" s="39">
        <f t="shared" si="177"/>
        <v>209249640</v>
      </c>
      <c r="P198" s="39">
        <f t="shared" si="177"/>
        <v>0</v>
      </c>
      <c r="Q198" s="39">
        <f t="shared" si="177"/>
        <v>0</v>
      </c>
      <c r="R198" s="39">
        <f t="shared" si="177"/>
        <v>0</v>
      </c>
      <c r="S198" s="39">
        <f t="shared" si="177"/>
        <v>209249640</v>
      </c>
      <c r="T198" s="39">
        <f t="shared" si="177"/>
        <v>0</v>
      </c>
      <c r="U198" s="39">
        <f t="shared" si="177"/>
        <v>0</v>
      </c>
      <c r="V198" s="39">
        <f t="shared" si="177"/>
        <v>0</v>
      </c>
      <c r="W198" s="39">
        <f t="shared" si="177"/>
        <v>0</v>
      </c>
      <c r="X198" s="39">
        <f t="shared" si="177"/>
        <v>0</v>
      </c>
      <c r="Y198" s="39">
        <f t="shared" si="177"/>
        <v>0</v>
      </c>
      <c r="Z198" s="157">
        <f t="shared" si="134"/>
        <v>0</v>
      </c>
      <c r="AA198" s="39">
        <f t="shared" si="177"/>
        <v>0</v>
      </c>
      <c r="AB198" s="39">
        <f t="shared" ref="AB198" si="178">AB210</f>
        <v>209249640</v>
      </c>
      <c r="AC198" s="205"/>
      <c r="AD198" s="40"/>
    </row>
    <row r="199" spans="1:30" s="20" customFormat="1" ht="72.75" customHeight="1" x14ac:dyDescent="0.25">
      <c r="A199" s="36"/>
      <c r="B199" s="48"/>
      <c r="C199" s="48"/>
      <c r="D199" s="38" t="str">
        <f>D211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199" s="39">
        <f>E211</f>
        <v>0</v>
      </c>
      <c r="F199" s="39">
        <f t="shared" ref="F199:AA199" si="179">F211</f>
        <v>0</v>
      </c>
      <c r="G199" s="39">
        <f t="shared" si="179"/>
        <v>0</v>
      </c>
      <c r="H199" s="39">
        <f t="shared" si="179"/>
        <v>0</v>
      </c>
      <c r="I199" s="39">
        <f t="shared" si="179"/>
        <v>0</v>
      </c>
      <c r="J199" s="39">
        <f t="shared" si="179"/>
        <v>0</v>
      </c>
      <c r="K199" s="39">
        <f t="shared" si="179"/>
        <v>0</v>
      </c>
      <c r="L199" s="39">
        <f t="shared" si="179"/>
        <v>0</v>
      </c>
      <c r="M199" s="157"/>
      <c r="N199" s="39">
        <f t="shared" si="179"/>
        <v>42813357.390000001</v>
      </c>
      <c r="O199" s="39">
        <f t="shared" si="179"/>
        <v>42813357.390000001</v>
      </c>
      <c r="P199" s="39">
        <f t="shared" si="179"/>
        <v>0</v>
      </c>
      <c r="Q199" s="39">
        <f t="shared" si="179"/>
        <v>0</v>
      </c>
      <c r="R199" s="39">
        <f t="shared" si="179"/>
        <v>0</v>
      </c>
      <c r="S199" s="39">
        <f t="shared" si="179"/>
        <v>42813357.390000001</v>
      </c>
      <c r="T199" s="39">
        <f t="shared" si="179"/>
        <v>0</v>
      </c>
      <c r="U199" s="39">
        <f t="shared" si="179"/>
        <v>0</v>
      </c>
      <c r="V199" s="39">
        <f t="shared" si="179"/>
        <v>0</v>
      </c>
      <c r="W199" s="39">
        <f t="shared" si="179"/>
        <v>0</v>
      </c>
      <c r="X199" s="39">
        <f t="shared" si="179"/>
        <v>0</v>
      </c>
      <c r="Y199" s="39">
        <f t="shared" si="179"/>
        <v>0</v>
      </c>
      <c r="Z199" s="157">
        <f t="shared" si="134"/>
        <v>0</v>
      </c>
      <c r="AA199" s="39">
        <f t="shared" si="179"/>
        <v>0</v>
      </c>
      <c r="AB199" s="39">
        <f t="shared" ref="AB199" si="180">AB211</f>
        <v>42813357.390000001</v>
      </c>
      <c r="AC199" s="205"/>
      <c r="AD199" s="40"/>
    </row>
    <row r="200" spans="1:30" s="1" customFormat="1" ht="46.5" customHeight="1" x14ac:dyDescent="0.25">
      <c r="A200" s="41" t="s">
        <v>115</v>
      </c>
      <c r="B200" s="42" t="str">
        <f>'дод 5'!A18</f>
        <v>0160</v>
      </c>
      <c r="C200" s="42" t="str">
        <f>'дод 5'!B18</f>
        <v>0111</v>
      </c>
      <c r="D200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00" s="44">
        <f t="shared" ref="E200:E210" si="181">F200+I200</f>
        <v>6477800</v>
      </c>
      <c r="F200" s="44">
        <v>6477800</v>
      </c>
      <c r="G200" s="44">
        <v>5309700</v>
      </c>
      <c r="H200" s="44"/>
      <c r="I200" s="44"/>
      <c r="J200" s="44">
        <v>1404111.97</v>
      </c>
      <c r="K200" s="44">
        <v>1162780.45</v>
      </c>
      <c r="L200" s="44"/>
      <c r="M200" s="158">
        <f t="shared" si="122"/>
        <v>21.675753650930872</v>
      </c>
      <c r="N200" s="44">
        <f>P200+S200</f>
        <v>400000</v>
      </c>
      <c r="O200" s="44"/>
      <c r="P200" s="44">
        <v>400000</v>
      </c>
      <c r="Q200" s="44"/>
      <c r="R200" s="44">
        <v>228200</v>
      </c>
      <c r="S200" s="44"/>
      <c r="T200" s="44">
        <f t="shared" si="123"/>
        <v>624019.09</v>
      </c>
      <c r="U200" s="44"/>
      <c r="V200" s="44">
        <v>624019.09</v>
      </c>
      <c r="W200" s="44">
        <v>437914.3</v>
      </c>
      <c r="X200" s="44">
        <v>55028.03</v>
      </c>
      <c r="Y200" s="44"/>
      <c r="Z200" s="158" t="s">
        <v>519</v>
      </c>
      <c r="AA200" s="44">
        <f t="shared" si="124"/>
        <v>2028131.06</v>
      </c>
      <c r="AB200" s="44">
        <f t="shared" ref="AB200:AB211" si="182">E200+N200</f>
        <v>6877800</v>
      </c>
      <c r="AC200" s="205"/>
      <c r="AD200" s="45"/>
    </row>
    <row r="201" spans="1:30" s="18" customFormat="1" ht="141.75" x14ac:dyDescent="0.25">
      <c r="A201" s="41" t="s">
        <v>481</v>
      </c>
      <c r="B201" s="42" t="str">
        <f>'дод 5'!A64</f>
        <v>1261</v>
      </c>
      <c r="C201" s="42" t="str">
        <f>'дод 5'!B64</f>
        <v>0990</v>
      </c>
      <c r="D201" s="46" t="str">
        <f>'дод 5'!C64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01" s="44">
        <f t="shared" si="181"/>
        <v>0</v>
      </c>
      <c r="F201" s="44"/>
      <c r="G201" s="44"/>
      <c r="H201" s="44"/>
      <c r="I201" s="44"/>
      <c r="J201" s="44"/>
      <c r="K201" s="44"/>
      <c r="L201" s="44"/>
      <c r="M201" s="158"/>
      <c r="N201" s="44">
        <f>P201+S201</f>
        <v>112284866</v>
      </c>
      <c r="O201" s="44">
        <f>13800000+5000+5000+5000+130000+34890978+21854049+18172002+21922837+1500000</f>
        <v>112284866</v>
      </c>
      <c r="P201" s="44"/>
      <c r="Q201" s="44"/>
      <c r="R201" s="44"/>
      <c r="S201" s="44">
        <f>13800000+5000+5000+5000+130000+34890978+21854049+18172002+21922837+1500000</f>
        <v>112284866</v>
      </c>
      <c r="T201" s="44">
        <f t="shared" si="123"/>
        <v>10899871</v>
      </c>
      <c r="U201" s="44">
        <v>10899871</v>
      </c>
      <c r="V201" s="44"/>
      <c r="W201" s="44"/>
      <c r="X201" s="44"/>
      <c r="Y201" s="44">
        <v>10899871</v>
      </c>
      <c r="Z201" s="158">
        <f t="shared" si="134"/>
        <v>9.707337585458756</v>
      </c>
      <c r="AA201" s="44">
        <f t="shared" si="124"/>
        <v>10899871</v>
      </c>
      <c r="AB201" s="44">
        <f t="shared" si="182"/>
        <v>112284866</v>
      </c>
      <c r="AC201" s="205"/>
      <c r="AD201" s="45"/>
    </row>
    <row r="202" spans="1:30" s="18" customFormat="1" ht="141.75" x14ac:dyDescent="0.25">
      <c r="A202" s="41" t="s">
        <v>482</v>
      </c>
      <c r="B202" s="42" t="str">
        <f>'дод 5'!A65</f>
        <v>1262</v>
      </c>
      <c r="C202" s="42" t="str">
        <f>'дод 5'!B65</f>
        <v>0990</v>
      </c>
      <c r="D202" s="46" t="str">
        <f>'дод 5'!C65</f>
        <v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v>
      </c>
      <c r="E202" s="44">
        <f t="shared" si="181"/>
        <v>0</v>
      </c>
      <c r="F202" s="44"/>
      <c r="G202" s="44"/>
      <c r="H202" s="44"/>
      <c r="I202" s="44"/>
      <c r="J202" s="44"/>
      <c r="K202" s="44"/>
      <c r="L202" s="44"/>
      <c r="M202" s="158"/>
      <c r="N202" s="44">
        <f t="shared" ref="N202:N203" si="183">P202+S202</f>
        <v>213902286</v>
      </c>
      <c r="O202" s="44">
        <f>7809449+206092837</f>
        <v>213902286</v>
      </c>
      <c r="P202" s="44"/>
      <c r="Q202" s="44"/>
      <c r="R202" s="44"/>
      <c r="S202" s="44">
        <f>7809449+206092837</f>
        <v>213902286</v>
      </c>
      <c r="T202" s="44">
        <f t="shared" si="123"/>
        <v>0</v>
      </c>
      <c r="U202" s="44"/>
      <c r="V202" s="44"/>
      <c r="W202" s="44"/>
      <c r="X202" s="44"/>
      <c r="Y202" s="44"/>
      <c r="Z202" s="158">
        <f t="shared" si="134"/>
        <v>0</v>
      </c>
      <c r="AA202" s="44">
        <f t="shared" si="124"/>
        <v>0</v>
      </c>
      <c r="AB202" s="44">
        <f t="shared" si="182"/>
        <v>213902286</v>
      </c>
      <c r="AC202" s="205"/>
      <c r="AD202" s="45"/>
    </row>
    <row r="203" spans="1:30" s="19" customFormat="1" ht="126.75" customHeight="1" x14ac:dyDescent="0.25">
      <c r="A203" s="50"/>
      <c r="B203" s="51"/>
      <c r="C203" s="51"/>
      <c r="D203" s="52" t="str">
        <f>'дод 5'!C66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03" s="53">
        <f t="shared" si="181"/>
        <v>0</v>
      </c>
      <c r="F203" s="53"/>
      <c r="G203" s="53"/>
      <c r="H203" s="53"/>
      <c r="I203" s="53"/>
      <c r="J203" s="53"/>
      <c r="K203" s="53"/>
      <c r="L203" s="53"/>
      <c r="M203" s="159"/>
      <c r="N203" s="53">
        <f t="shared" si="183"/>
        <v>213902286</v>
      </c>
      <c r="O203" s="53">
        <f>7809449+206092837</f>
        <v>213902286</v>
      </c>
      <c r="P203" s="53"/>
      <c r="Q203" s="53"/>
      <c r="R203" s="53"/>
      <c r="S203" s="53">
        <f>7809449+206092837</f>
        <v>213902286</v>
      </c>
      <c r="T203" s="53">
        <f t="shared" si="123"/>
        <v>0</v>
      </c>
      <c r="U203" s="53"/>
      <c r="V203" s="53"/>
      <c r="W203" s="53"/>
      <c r="X203" s="53"/>
      <c r="Y203" s="53"/>
      <c r="Z203" s="159">
        <f t="shared" si="134"/>
        <v>0</v>
      </c>
      <c r="AA203" s="53">
        <f t="shared" si="124"/>
        <v>0</v>
      </c>
      <c r="AB203" s="53">
        <f t="shared" si="182"/>
        <v>213902286</v>
      </c>
      <c r="AC203" s="205">
        <v>10</v>
      </c>
      <c r="AD203" s="54"/>
    </row>
    <row r="204" spans="1:30" s="18" customFormat="1" ht="29.1" customHeight="1" x14ac:dyDescent="0.25">
      <c r="A204" s="41" t="s">
        <v>454</v>
      </c>
      <c r="B204" s="42" t="str">
        <f>'дод 5'!A67</f>
        <v>1300</v>
      </c>
      <c r="C204" s="42" t="str">
        <f>'дод 5'!B67</f>
        <v>0990</v>
      </c>
      <c r="D204" s="46" t="s">
        <v>523</v>
      </c>
      <c r="E204" s="44">
        <f t="shared" si="181"/>
        <v>0</v>
      </c>
      <c r="F204" s="44"/>
      <c r="G204" s="44"/>
      <c r="H204" s="44"/>
      <c r="I204" s="44"/>
      <c r="J204" s="44"/>
      <c r="K204" s="44"/>
      <c r="L204" s="44"/>
      <c r="M204" s="158"/>
      <c r="N204" s="44">
        <f>P204+S204</f>
        <v>1640621</v>
      </c>
      <c r="O204" s="44">
        <f>1050000+500000+50000+130000+5000+5000+5000+5000+30000-5000-5000-5000-130000+5621</f>
        <v>1640621</v>
      </c>
      <c r="P204" s="44"/>
      <c r="Q204" s="44"/>
      <c r="R204" s="44"/>
      <c r="S204" s="44">
        <f>1050000+500000+50000+130000+5000+5000+5000+5000+30000-5000-5000-5000-130000+5621</f>
        <v>1640621</v>
      </c>
      <c r="T204" s="44">
        <f t="shared" si="123"/>
        <v>897356</v>
      </c>
      <c r="U204" s="44">
        <v>897356</v>
      </c>
      <c r="V204" s="44"/>
      <c r="W204" s="44"/>
      <c r="X204" s="44"/>
      <c r="Y204" s="44">
        <v>897356</v>
      </c>
      <c r="Z204" s="158">
        <f t="shared" si="134"/>
        <v>54.696118116249878</v>
      </c>
      <c r="AA204" s="44">
        <f t="shared" si="124"/>
        <v>897356</v>
      </c>
      <c r="AB204" s="44">
        <f t="shared" si="182"/>
        <v>1640621</v>
      </c>
      <c r="AC204" s="205"/>
      <c r="AD204" s="45"/>
    </row>
    <row r="205" spans="1:30" s="18" customFormat="1" ht="29.1" customHeight="1" x14ac:dyDescent="0.25">
      <c r="A205" s="41" t="s">
        <v>455</v>
      </c>
      <c r="B205" s="42">
        <f>'дод 5'!A83</f>
        <v>2170</v>
      </c>
      <c r="C205" s="42" t="str">
        <f>'дод 5'!B83</f>
        <v>0763</v>
      </c>
      <c r="D205" s="46" t="s">
        <v>523</v>
      </c>
      <c r="E205" s="44">
        <f t="shared" ref="E205" si="184">F205+I205</f>
        <v>0</v>
      </c>
      <c r="F205" s="44"/>
      <c r="G205" s="44"/>
      <c r="H205" s="44"/>
      <c r="I205" s="44"/>
      <c r="J205" s="44"/>
      <c r="K205" s="44"/>
      <c r="L205" s="44"/>
      <c r="M205" s="158"/>
      <c r="N205" s="44">
        <f t="shared" ref="N205" si="185">P205+S205</f>
        <v>2400000</v>
      </c>
      <c r="O205" s="44">
        <f>900000+1500000</f>
        <v>2400000</v>
      </c>
      <c r="P205" s="44"/>
      <c r="Q205" s="44"/>
      <c r="R205" s="44"/>
      <c r="S205" s="44">
        <f>900000+1500000</f>
        <v>2400000</v>
      </c>
      <c r="T205" s="44">
        <f t="shared" si="123"/>
        <v>0</v>
      </c>
      <c r="U205" s="44"/>
      <c r="V205" s="44"/>
      <c r="W205" s="44"/>
      <c r="X205" s="44"/>
      <c r="Y205" s="44"/>
      <c r="Z205" s="158">
        <f t="shared" si="134"/>
        <v>0</v>
      </c>
      <c r="AA205" s="44">
        <f t="shared" si="124"/>
        <v>0</v>
      </c>
      <c r="AB205" s="44">
        <f t="shared" ref="AB205" si="186">E205+N205</f>
        <v>2400000</v>
      </c>
      <c r="AC205" s="205"/>
      <c r="AD205" s="45"/>
    </row>
    <row r="206" spans="1:30" s="1" customFormat="1" ht="65.25" customHeight="1" x14ac:dyDescent="0.25">
      <c r="A206" s="41" t="s">
        <v>170</v>
      </c>
      <c r="B206" s="42">
        <f>'дод 5'!A140</f>
        <v>6084</v>
      </c>
      <c r="C206" s="42" t="str">
        <f>'дод 5'!B140</f>
        <v>0610</v>
      </c>
      <c r="D206" s="46" t="str">
        <f>'дод 5'!C140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206" s="44">
        <f t="shared" si="181"/>
        <v>0</v>
      </c>
      <c r="F206" s="44"/>
      <c r="G206" s="44"/>
      <c r="H206" s="44"/>
      <c r="I206" s="44"/>
      <c r="J206" s="44"/>
      <c r="K206" s="44"/>
      <c r="L206" s="44"/>
      <c r="M206" s="158"/>
      <c r="N206" s="44">
        <f t="shared" ref="N206:N211" si="187">P206+S206</f>
        <v>342000</v>
      </c>
      <c r="O206" s="44"/>
      <c r="P206" s="44"/>
      <c r="Q206" s="44"/>
      <c r="R206" s="44"/>
      <c r="S206" s="44">
        <v>342000</v>
      </c>
      <c r="T206" s="44">
        <f t="shared" si="123"/>
        <v>0</v>
      </c>
      <c r="U206" s="44"/>
      <c r="V206" s="44"/>
      <c r="W206" s="44"/>
      <c r="X206" s="44"/>
      <c r="Y206" s="44"/>
      <c r="Z206" s="158">
        <f t="shared" si="134"/>
        <v>0</v>
      </c>
      <c r="AA206" s="44">
        <f t="shared" si="124"/>
        <v>0</v>
      </c>
      <c r="AB206" s="44">
        <f t="shared" si="182"/>
        <v>342000</v>
      </c>
      <c r="AC206" s="205"/>
      <c r="AD206" s="45"/>
    </row>
    <row r="207" spans="1:30" s="18" customFormat="1" ht="37.5" customHeight="1" x14ac:dyDescent="0.25">
      <c r="A207" s="41" t="s">
        <v>456</v>
      </c>
      <c r="B207" s="42">
        <f>'дод 5'!A142</f>
        <v>6091</v>
      </c>
      <c r="C207" s="42" t="str">
        <f>'дод 5'!B142</f>
        <v>0640</v>
      </c>
      <c r="D207" s="46" t="str">
        <f>'дод 5'!C142</f>
        <v>Будівництво1 об'єктів житлово-комунального господарства</v>
      </c>
      <c r="E207" s="44">
        <f t="shared" ref="E207:E208" si="188">F207+I207</f>
        <v>0</v>
      </c>
      <c r="F207" s="44"/>
      <c r="G207" s="44"/>
      <c r="H207" s="44"/>
      <c r="I207" s="44"/>
      <c r="J207" s="44"/>
      <c r="K207" s="44"/>
      <c r="L207" s="44"/>
      <c r="M207" s="158"/>
      <c r="N207" s="44">
        <f t="shared" ref="N207:N208" si="189">P207+S207</f>
        <v>2505621</v>
      </c>
      <c r="O207" s="44">
        <f>2500000+5621</f>
        <v>2505621</v>
      </c>
      <c r="P207" s="44"/>
      <c r="Q207" s="44"/>
      <c r="R207" s="44"/>
      <c r="S207" s="44">
        <f>2500000+5621</f>
        <v>2505621</v>
      </c>
      <c r="T207" s="44">
        <f t="shared" si="123"/>
        <v>0</v>
      </c>
      <c r="U207" s="44"/>
      <c r="V207" s="44"/>
      <c r="W207" s="44"/>
      <c r="X207" s="44"/>
      <c r="Y207" s="44"/>
      <c r="Z207" s="158">
        <f t="shared" si="134"/>
        <v>0</v>
      </c>
      <c r="AA207" s="44">
        <f t="shared" si="124"/>
        <v>0</v>
      </c>
      <c r="AB207" s="44">
        <f t="shared" ref="AB207:AB208" si="190">E207+N207</f>
        <v>2505621</v>
      </c>
      <c r="AC207" s="205"/>
      <c r="AD207" s="45"/>
    </row>
    <row r="208" spans="1:30" s="18" customFormat="1" ht="34.5" customHeight="1" x14ac:dyDescent="0.25">
      <c r="A208" s="41" t="s">
        <v>457</v>
      </c>
      <c r="B208" s="42" t="str">
        <f>'дод 5'!A154</f>
        <v>7330</v>
      </c>
      <c r="C208" s="42" t="str">
        <f>'дод 5'!B154</f>
        <v>0443</v>
      </c>
      <c r="D208" s="46" t="str">
        <f>'дод 5'!C154</f>
        <v>Будівництво1 інших об'єктів комунальної власності</v>
      </c>
      <c r="E208" s="44">
        <f t="shared" si="188"/>
        <v>0</v>
      </c>
      <c r="F208" s="44"/>
      <c r="G208" s="44"/>
      <c r="H208" s="44"/>
      <c r="I208" s="44"/>
      <c r="J208" s="44"/>
      <c r="K208" s="44"/>
      <c r="L208" s="44"/>
      <c r="M208" s="158"/>
      <c r="N208" s="44">
        <f t="shared" si="189"/>
        <v>1040000</v>
      </c>
      <c r="O208" s="44">
        <v>1040000</v>
      </c>
      <c r="P208" s="44"/>
      <c r="Q208" s="44"/>
      <c r="R208" s="44"/>
      <c r="S208" s="44">
        <v>1040000</v>
      </c>
      <c r="T208" s="44">
        <v>287336</v>
      </c>
      <c r="U208" s="44">
        <v>287336</v>
      </c>
      <c r="V208" s="44"/>
      <c r="W208" s="44"/>
      <c r="X208" s="44"/>
      <c r="Y208" s="44">
        <v>287336</v>
      </c>
      <c r="Z208" s="158">
        <f t="shared" si="134"/>
        <v>27.62846153846154</v>
      </c>
      <c r="AA208" s="44">
        <f t="shared" si="124"/>
        <v>287336</v>
      </c>
      <c r="AB208" s="44">
        <f t="shared" si="190"/>
        <v>1040000</v>
      </c>
      <c r="AC208" s="205"/>
      <c r="AD208" s="45"/>
    </row>
    <row r="209" spans="1:30" s="18" customFormat="1" ht="27" customHeight="1" x14ac:dyDescent="0.25">
      <c r="A209" s="41" t="s">
        <v>120</v>
      </c>
      <c r="B209" s="42" t="str">
        <f>'дод 5'!A169</f>
        <v>7640</v>
      </c>
      <c r="C209" s="42" t="str">
        <f>'дод 5'!B169</f>
        <v>0470</v>
      </c>
      <c r="D209" s="43" t="str">
        <f>'дод 5'!C169</f>
        <v>Заходи з енергозбереження, у т. ч. за рахунок:</v>
      </c>
      <c r="E209" s="44">
        <f t="shared" si="181"/>
        <v>515734</v>
      </c>
      <c r="F209" s="44">
        <v>515734</v>
      </c>
      <c r="G209" s="44"/>
      <c r="H209" s="44"/>
      <c r="I209" s="44"/>
      <c r="J209" s="44"/>
      <c r="K209" s="44"/>
      <c r="L209" s="44"/>
      <c r="M209" s="158"/>
      <c r="N209" s="44">
        <f t="shared" si="187"/>
        <v>293912997.38999999</v>
      </c>
      <c r="O209" s="44">
        <f>251099640+42813357.39</f>
        <v>293912997.38999999</v>
      </c>
      <c r="P209" s="44"/>
      <c r="Q209" s="44"/>
      <c r="R209" s="44"/>
      <c r="S209" s="44">
        <f>251099640+42813357.39</f>
        <v>293912997.38999999</v>
      </c>
      <c r="T209" s="44"/>
      <c r="U209" s="44"/>
      <c r="V209" s="44"/>
      <c r="W209" s="44"/>
      <c r="X209" s="44"/>
      <c r="Y209" s="44"/>
      <c r="Z209" s="158">
        <f t="shared" si="134"/>
        <v>0</v>
      </c>
      <c r="AA209" s="44">
        <f t="shared" si="124"/>
        <v>0</v>
      </c>
      <c r="AB209" s="44">
        <f t="shared" si="182"/>
        <v>294428731.38999999</v>
      </c>
      <c r="AC209" s="205"/>
      <c r="AD209" s="45"/>
    </row>
    <row r="210" spans="1:30" s="2" customFormat="1" ht="23.25" customHeight="1" x14ac:dyDescent="0.25">
      <c r="A210" s="50"/>
      <c r="B210" s="51"/>
      <c r="C210" s="51"/>
      <c r="D210" s="55" t="s">
        <v>289</v>
      </c>
      <c r="E210" s="53">
        <f t="shared" si="181"/>
        <v>0</v>
      </c>
      <c r="F210" s="53"/>
      <c r="G210" s="53"/>
      <c r="H210" s="53"/>
      <c r="I210" s="53"/>
      <c r="J210" s="53"/>
      <c r="K210" s="53"/>
      <c r="L210" s="53"/>
      <c r="M210" s="159"/>
      <c r="N210" s="53">
        <f t="shared" si="187"/>
        <v>209249640</v>
      </c>
      <c r="O210" s="53">
        <v>209249640</v>
      </c>
      <c r="P210" s="53"/>
      <c r="Q210" s="53"/>
      <c r="R210" s="53"/>
      <c r="S210" s="53">
        <v>209249640</v>
      </c>
      <c r="T210" s="53">
        <f t="shared" si="123"/>
        <v>0</v>
      </c>
      <c r="U210" s="53"/>
      <c r="V210" s="53"/>
      <c r="W210" s="53"/>
      <c r="X210" s="53"/>
      <c r="Y210" s="53"/>
      <c r="Z210" s="159">
        <f t="shared" si="134"/>
        <v>0</v>
      </c>
      <c r="AA210" s="53">
        <f t="shared" si="124"/>
        <v>0</v>
      </c>
      <c r="AB210" s="53">
        <f t="shared" si="182"/>
        <v>209249640</v>
      </c>
      <c r="AC210" s="205"/>
      <c r="AD210" s="54"/>
    </row>
    <row r="211" spans="1:30" s="19" customFormat="1" ht="67.349999999999994" customHeight="1" x14ac:dyDescent="0.25">
      <c r="A211" s="50"/>
      <c r="B211" s="51"/>
      <c r="C211" s="51"/>
      <c r="D211" s="55" t="str">
        <f>'дод 5'!C171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211" s="53"/>
      <c r="F211" s="53"/>
      <c r="G211" s="53"/>
      <c r="H211" s="53"/>
      <c r="I211" s="53"/>
      <c r="J211" s="53"/>
      <c r="K211" s="53"/>
      <c r="L211" s="53"/>
      <c r="M211" s="159"/>
      <c r="N211" s="53">
        <f t="shared" si="187"/>
        <v>42813357.390000001</v>
      </c>
      <c r="O211" s="53">
        <v>42813357.390000001</v>
      </c>
      <c r="P211" s="53"/>
      <c r="Q211" s="53"/>
      <c r="R211" s="53"/>
      <c r="S211" s="53">
        <v>42813357.390000001</v>
      </c>
      <c r="T211" s="53">
        <f t="shared" ref="T211:T243" si="191">V211+Y211</f>
        <v>0</v>
      </c>
      <c r="U211" s="53"/>
      <c r="V211" s="53"/>
      <c r="W211" s="53"/>
      <c r="X211" s="53"/>
      <c r="Y211" s="53"/>
      <c r="Z211" s="159">
        <f t="shared" ref="Z211:Z249" si="192">T211/N211*100</f>
        <v>0</v>
      </c>
      <c r="AA211" s="53">
        <f t="shared" ref="AA211:AA240" si="193">T211+J211</f>
        <v>0</v>
      </c>
      <c r="AB211" s="53">
        <f t="shared" si="182"/>
        <v>42813357.390000001</v>
      </c>
      <c r="AC211" s="205"/>
      <c r="AD211" s="54"/>
    </row>
    <row r="212" spans="1:30" s="13" customFormat="1" ht="44.25" customHeight="1" x14ac:dyDescent="0.25">
      <c r="A212" s="32" t="s">
        <v>173</v>
      </c>
      <c r="B212" s="47"/>
      <c r="C212" s="47"/>
      <c r="D212" s="33" t="s">
        <v>35</v>
      </c>
      <c r="E212" s="34">
        <f>E213</f>
        <v>6723100</v>
      </c>
      <c r="F212" s="34">
        <f t="shared" ref="F212:AA213" si="194">F213</f>
        <v>6723100</v>
      </c>
      <c r="G212" s="34">
        <f t="shared" si="194"/>
        <v>5268800</v>
      </c>
      <c r="H212" s="34">
        <f t="shared" si="194"/>
        <v>113900</v>
      </c>
      <c r="I212" s="34">
        <f t="shared" si="194"/>
        <v>0</v>
      </c>
      <c r="J212" s="34">
        <f t="shared" si="194"/>
        <v>1747045.8</v>
      </c>
      <c r="K212" s="34">
        <f t="shared" si="194"/>
        <v>1412714.25</v>
      </c>
      <c r="L212" s="34">
        <f t="shared" si="194"/>
        <v>34176.92</v>
      </c>
      <c r="M212" s="156">
        <f t="shared" ref="M212:M248" si="195">J212/E212*100</f>
        <v>25.985717897993489</v>
      </c>
      <c r="N212" s="34">
        <f t="shared" si="194"/>
        <v>0</v>
      </c>
      <c r="O212" s="34">
        <f t="shared" si="194"/>
        <v>0</v>
      </c>
      <c r="P212" s="34">
        <f t="shared" si="194"/>
        <v>0</v>
      </c>
      <c r="Q212" s="34">
        <f t="shared" si="194"/>
        <v>0</v>
      </c>
      <c r="R212" s="34">
        <f t="shared" si="194"/>
        <v>0</v>
      </c>
      <c r="S212" s="34">
        <f t="shared" si="194"/>
        <v>0</v>
      </c>
      <c r="T212" s="34">
        <f t="shared" si="194"/>
        <v>0</v>
      </c>
      <c r="U212" s="34">
        <f t="shared" si="194"/>
        <v>0</v>
      </c>
      <c r="V212" s="34">
        <f t="shared" si="194"/>
        <v>0</v>
      </c>
      <c r="W212" s="34">
        <f t="shared" si="194"/>
        <v>0</v>
      </c>
      <c r="X212" s="34">
        <f t="shared" si="194"/>
        <v>0</v>
      </c>
      <c r="Y212" s="34">
        <f t="shared" si="194"/>
        <v>0</v>
      </c>
      <c r="Z212" s="156"/>
      <c r="AA212" s="34">
        <f t="shared" si="194"/>
        <v>1747045.8</v>
      </c>
      <c r="AB212" s="34">
        <f t="shared" ref="AB212" si="196">AB213</f>
        <v>6723100</v>
      </c>
      <c r="AC212" s="205"/>
      <c r="AD212" s="35"/>
    </row>
    <row r="213" spans="1:30" s="3" customFormat="1" ht="44.25" customHeight="1" x14ac:dyDescent="0.25">
      <c r="A213" s="36" t="s">
        <v>171</v>
      </c>
      <c r="B213" s="48"/>
      <c r="C213" s="48"/>
      <c r="D213" s="38" t="s">
        <v>35</v>
      </c>
      <c r="E213" s="39">
        <f>E214</f>
        <v>6723100</v>
      </c>
      <c r="F213" s="39">
        <f t="shared" si="194"/>
        <v>6723100</v>
      </c>
      <c r="G213" s="39">
        <f t="shared" si="194"/>
        <v>5268800</v>
      </c>
      <c r="H213" s="39">
        <f t="shared" si="194"/>
        <v>113900</v>
      </c>
      <c r="I213" s="39">
        <f t="shared" si="194"/>
        <v>0</v>
      </c>
      <c r="J213" s="39">
        <f t="shared" si="194"/>
        <v>1747045.8</v>
      </c>
      <c r="K213" s="39">
        <f t="shared" si="194"/>
        <v>1412714.25</v>
      </c>
      <c r="L213" s="39">
        <f t="shared" si="194"/>
        <v>34176.92</v>
      </c>
      <c r="M213" s="157">
        <f t="shared" si="195"/>
        <v>25.985717897993489</v>
      </c>
      <c r="N213" s="39">
        <f t="shared" si="194"/>
        <v>0</v>
      </c>
      <c r="O213" s="39">
        <f t="shared" si="194"/>
        <v>0</v>
      </c>
      <c r="P213" s="39">
        <f t="shared" si="194"/>
        <v>0</v>
      </c>
      <c r="Q213" s="39">
        <f t="shared" si="194"/>
        <v>0</v>
      </c>
      <c r="R213" s="39">
        <f t="shared" si="194"/>
        <v>0</v>
      </c>
      <c r="S213" s="39">
        <f t="shared" si="194"/>
        <v>0</v>
      </c>
      <c r="T213" s="39">
        <f t="shared" si="194"/>
        <v>0</v>
      </c>
      <c r="U213" s="39">
        <f t="shared" si="194"/>
        <v>0</v>
      </c>
      <c r="V213" s="39">
        <f t="shared" si="194"/>
        <v>0</v>
      </c>
      <c r="W213" s="39">
        <f t="shared" si="194"/>
        <v>0</v>
      </c>
      <c r="X213" s="39">
        <f t="shared" si="194"/>
        <v>0</v>
      </c>
      <c r="Y213" s="39">
        <f t="shared" si="194"/>
        <v>0</v>
      </c>
      <c r="Z213" s="157"/>
      <c r="AA213" s="39">
        <f t="shared" si="194"/>
        <v>1747045.8</v>
      </c>
      <c r="AB213" s="39">
        <f t="shared" ref="AB213" si="197">AB214</f>
        <v>6723100</v>
      </c>
      <c r="AC213" s="205"/>
      <c r="AD213" s="40"/>
    </row>
    <row r="214" spans="1:30" s="1" customFormat="1" ht="49.5" customHeight="1" x14ac:dyDescent="0.25">
      <c r="A214" s="41" t="s">
        <v>172</v>
      </c>
      <c r="B214" s="42" t="str">
        <f>'дод 5'!A18</f>
        <v>0160</v>
      </c>
      <c r="C214" s="42" t="str">
        <f>'дод 5'!B18</f>
        <v>0111</v>
      </c>
      <c r="D214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14" s="44">
        <f>F214+I214</f>
        <v>6723100</v>
      </c>
      <c r="F214" s="44">
        <f>6573400+149700</f>
        <v>6723100</v>
      </c>
      <c r="G214" s="44">
        <f>5146100+122700</f>
        <v>5268800</v>
      </c>
      <c r="H214" s="44">
        <v>113900</v>
      </c>
      <c r="I214" s="44"/>
      <c r="J214" s="44">
        <v>1747045.8</v>
      </c>
      <c r="K214" s="44">
        <v>1412714.25</v>
      </c>
      <c r="L214" s="44">
        <v>34176.92</v>
      </c>
      <c r="M214" s="158">
        <f t="shared" si="195"/>
        <v>25.985717897993489</v>
      </c>
      <c r="N214" s="44">
        <f>P214+S214</f>
        <v>0</v>
      </c>
      <c r="O214" s="44"/>
      <c r="P214" s="44"/>
      <c r="Q214" s="44"/>
      <c r="R214" s="44"/>
      <c r="S214" s="44"/>
      <c r="T214" s="44">
        <f t="shared" si="191"/>
        <v>0</v>
      </c>
      <c r="U214" s="44"/>
      <c r="V214" s="44"/>
      <c r="W214" s="44"/>
      <c r="X214" s="44"/>
      <c r="Y214" s="44"/>
      <c r="Z214" s="158"/>
      <c r="AA214" s="44">
        <f t="shared" si="193"/>
        <v>1747045.8</v>
      </c>
      <c r="AB214" s="44">
        <f>E214+N214</f>
        <v>6723100</v>
      </c>
      <c r="AC214" s="205"/>
      <c r="AD214" s="45"/>
    </row>
    <row r="215" spans="1:30" s="13" customFormat="1" ht="36" customHeight="1" x14ac:dyDescent="0.25">
      <c r="A215" s="32" t="s">
        <v>351</v>
      </c>
      <c r="B215" s="47"/>
      <c r="C215" s="47"/>
      <c r="D215" s="33" t="s">
        <v>338</v>
      </c>
      <c r="E215" s="34">
        <f>E216</f>
        <v>19501400</v>
      </c>
      <c r="F215" s="34">
        <f t="shared" ref="F215:AA215" si="198">F216</f>
        <v>18901400</v>
      </c>
      <c r="G215" s="34">
        <f t="shared" si="198"/>
        <v>15010700</v>
      </c>
      <c r="H215" s="34">
        <f t="shared" si="198"/>
        <v>236900</v>
      </c>
      <c r="I215" s="34">
        <f t="shared" si="198"/>
        <v>600000</v>
      </c>
      <c r="J215" s="34">
        <f t="shared" si="198"/>
        <v>3982884.36</v>
      </c>
      <c r="K215" s="34">
        <f t="shared" si="198"/>
        <v>3166429.12</v>
      </c>
      <c r="L215" s="34">
        <f t="shared" si="198"/>
        <v>61428.15</v>
      </c>
      <c r="M215" s="156">
        <f t="shared" si="195"/>
        <v>20.42358169157086</v>
      </c>
      <c r="N215" s="34">
        <f t="shared" si="198"/>
        <v>0</v>
      </c>
      <c r="O215" s="34">
        <f t="shared" si="198"/>
        <v>0</v>
      </c>
      <c r="P215" s="34">
        <f t="shared" si="198"/>
        <v>0</v>
      </c>
      <c r="Q215" s="34">
        <f t="shared" si="198"/>
        <v>0</v>
      </c>
      <c r="R215" s="34">
        <f t="shared" si="198"/>
        <v>0</v>
      </c>
      <c r="S215" s="34">
        <f t="shared" si="198"/>
        <v>0</v>
      </c>
      <c r="T215" s="34">
        <f t="shared" si="198"/>
        <v>0</v>
      </c>
      <c r="U215" s="34">
        <f t="shared" si="198"/>
        <v>0</v>
      </c>
      <c r="V215" s="34">
        <f t="shared" si="198"/>
        <v>0</v>
      </c>
      <c r="W215" s="34">
        <f t="shared" si="198"/>
        <v>0</v>
      </c>
      <c r="X215" s="34">
        <f t="shared" si="198"/>
        <v>0</v>
      </c>
      <c r="Y215" s="34">
        <f t="shared" si="198"/>
        <v>0</v>
      </c>
      <c r="Z215" s="156"/>
      <c r="AA215" s="34">
        <f t="shared" si="198"/>
        <v>3982884.36</v>
      </c>
      <c r="AB215" s="34">
        <f t="shared" ref="AB215" si="199">AB216</f>
        <v>19501400</v>
      </c>
      <c r="AC215" s="205"/>
      <c r="AD215" s="35"/>
    </row>
    <row r="216" spans="1:30" s="3" customFormat="1" ht="36" customHeight="1" x14ac:dyDescent="0.25">
      <c r="A216" s="36" t="s">
        <v>353</v>
      </c>
      <c r="B216" s="48"/>
      <c r="C216" s="48"/>
      <c r="D216" s="38" t="s">
        <v>338</v>
      </c>
      <c r="E216" s="39">
        <f>E217+E218</f>
        <v>19501400</v>
      </c>
      <c r="F216" s="39">
        <f t="shared" ref="F216:AA216" si="200">F217+F218</f>
        <v>18901400</v>
      </c>
      <c r="G216" s="39">
        <f t="shared" si="200"/>
        <v>15010700</v>
      </c>
      <c r="H216" s="39">
        <f t="shared" si="200"/>
        <v>236900</v>
      </c>
      <c r="I216" s="39">
        <f t="shared" si="200"/>
        <v>600000</v>
      </c>
      <c r="J216" s="39">
        <f t="shared" si="200"/>
        <v>3982884.36</v>
      </c>
      <c r="K216" s="39">
        <f t="shared" si="200"/>
        <v>3166429.12</v>
      </c>
      <c r="L216" s="39">
        <f t="shared" si="200"/>
        <v>61428.15</v>
      </c>
      <c r="M216" s="157">
        <f t="shared" si="195"/>
        <v>20.42358169157086</v>
      </c>
      <c r="N216" s="39">
        <f t="shared" si="200"/>
        <v>0</v>
      </c>
      <c r="O216" s="39">
        <f t="shared" si="200"/>
        <v>0</v>
      </c>
      <c r="P216" s="39">
        <f t="shared" si="200"/>
        <v>0</v>
      </c>
      <c r="Q216" s="39">
        <f t="shared" si="200"/>
        <v>0</v>
      </c>
      <c r="R216" s="39">
        <f t="shared" si="200"/>
        <v>0</v>
      </c>
      <c r="S216" s="39">
        <f t="shared" si="200"/>
        <v>0</v>
      </c>
      <c r="T216" s="39">
        <f t="shared" si="200"/>
        <v>0</v>
      </c>
      <c r="U216" s="39">
        <f t="shared" si="200"/>
        <v>0</v>
      </c>
      <c r="V216" s="39">
        <f t="shared" si="200"/>
        <v>0</v>
      </c>
      <c r="W216" s="39">
        <f t="shared" si="200"/>
        <v>0</v>
      </c>
      <c r="X216" s="39">
        <f t="shared" si="200"/>
        <v>0</v>
      </c>
      <c r="Y216" s="39">
        <f t="shared" si="200"/>
        <v>0</v>
      </c>
      <c r="Z216" s="157"/>
      <c r="AA216" s="39">
        <f t="shared" si="200"/>
        <v>3982884.36</v>
      </c>
      <c r="AB216" s="39">
        <f t="shared" ref="AB216" si="201">AB217+AB218</f>
        <v>19501400</v>
      </c>
      <c r="AC216" s="205"/>
      <c r="AD216" s="40"/>
    </row>
    <row r="217" spans="1:30" s="1" customFormat="1" ht="45" customHeight="1" x14ac:dyDescent="0.25">
      <c r="A217" s="41" t="s">
        <v>352</v>
      </c>
      <c r="B217" s="42" t="str">
        <f>'дод 5'!A18</f>
        <v>0160</v>
      </c>
      <c r="C217" s="42" t="str">
        <f>'дод 5'!B18</f>
        <v>0111</v>
      </c>
      <c r="D217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17" s="44">
        <f>F217+I217</f>
        <v>18841400</v>
      </c>
      <c r="F217" s="44">
        <v>18841400</v>
      </c>
      <c r="G217" s="44">
        <v>15010700</v>
      </c>
      <c r="H217" s="44">
        <v>236900</v>
      </c>
      <c r="I217" s="44"/>
      <c r="J217" s="44">
        <v>3982884.36</v>
      </c>
      <c r="K217" s="44">
        <v>3166429.12</v>
      </c>
      <c r="L217" s="44">
        <v>61428.15</v>
      </c>
      <c r="M217" s="158">
        <f t="shared" si="195"/>
        <v>21.13900432027344</v>
      </c>
      <c r="N217" s="44">
        <f>P217+S217</f>
        <v>0</v>
      </c>
      <c r="O217" s="44">
        <f>8000-8000</f>
        <v>0</v>
      </c>
      <c r="P217" s="44"/>
      <c r="Q217" s="44"/>
      <c r="R217" s="44"/>
      <c r="S217" s="44">
        <f>8000-8000</f>
        <v>0</v>
      </c>
      <c r="T217" s="44">
        <f t="shared" si="191"/>
        <v>0</v>
      </c>
      <c r="U217" s="44"/>
      <c r="V217" s="44"/>
      <c r="W217" s="44"/>
      <c r="X217" s="44"/>
      <c r="Y217" s="44"/>
      <c r="Z217" s="158"/>
      <c r="AA217" s="44">
        <f t="shared" si="193"/>
        <v>3982884.36</v>
      </c>
      <c r="AB217" s="44">
        <f>E217+N217</f>
        <v>18841400</v>
      </c>
      <c r="AC217" s="205"/>
      <c r="AD217" s="45"/>
    </row>
    <row r="218" spans="1:30" s="1" customFormat="1" ht="31.5" customHeight="1" x14ac:dyDescent="0.25">
      <c r="A218" s="41" t="s">
        <v>354</v>
      </c>
      <c r="B218" s="42" t="str">
        <f>'дод 5'!A168</f>
        <v>7610</v>
      </c>
      <c r="C218" s="42" t="str">
        <f>'дод 5'!B168</f>
        <v>0411</v>
      </c>
      <c r="D218" s="46" t="str">
        <f>'дод 5'!C168</f>
        <v>Сприяння розвитку малого та середнього підприємництва</v>
      </c>
      <c r="E218" s="44">
        <f>F218+I218</f>
        <v>660000</v>
      </c>
      <c r="F218" s="44">
        <v>60000</v>
      </c>
      <c r="G218" s="44"/>
      <c r="H218" s="44"/>
      <c r="I218" s="44">
        <v>600000</v>
      </c>
      <c r="J218" s="44"/>
      <c r="K218" s="44"/>
      <c r="L218" s="44"/>
      <c r="M218" s="158">
        <f t="shared" si="195"/>
        <v>0</v>
      </c>
      <c r="N218" s="44">
        <f>P218+S218</f>
        <v>0</v>
      </c>
      <c r="O218" s="44">
        <f>8000-8000</f>
        <v>0</v>
      </c>
      <c r="P218" s="44"/>
      <c r="Q218" s="44"/>
      <c r="R218" s="44"/>
      <c r="S218" s="44">
        <f>8000-8000</f>
        <v>0</v>
      </c>
      <c r="T218" s="44">
        <f t="shared" si="191"/>
        <v>0</v>
      </c>
      <c r="U218" s="44"/>
      <c r="V218" s="44"/>
      <c r="W218" s="44"/>
      <c r="X218" s="44"/>
      <c r="Y218" s="44"/>
      <c r="Z218" s="158"/>
      <c r="AA218" s="44">
        <f t="shared" si="193"/>
        <v>0</v>
      </c>
      <c r="AB218" s="44">
        <f>E218+N218</f>
        <v>660000</v>
      </c>
      <c r="AC218" s="205"/>
      <c r="AD218" s="45"/>
    </row>
    <row r="219" spans="1:30" s="13" customFormat="1" ht="39" customHeight="1" x14ac:dyDescent="0.25">
      <c r="A219" s="32" t="s">
        <v>174</v>
      </c>
      <c r="B219" s="47"/>
      <c r="C219" s="47"/>
      <c r="D219" s="33" t="s">
        <v>342</v>
      </c>
      <c r="E219" s="34">
        <f>E220</f>
        <v>16177100</v>
      </c>
      <c r="F219" s="34">
        <f t="shared" ref="F219:AA219" si="202">F220</f>
        <v>16177100</v>
      </c>
      <c r="G219" s="34">
        <f t="shared" si="202"/>
        <v>12289400</v>
      </c>
      <c r="H219" s="34">
        <f t="shared" si="202"/>
        <v>226900</v>
      </c>
      <c r="I219" s="34">
        <f t="shared" si="202"/>
        <v>0</v>
      </c>
      <c r="J219" s="34">
        <f t="shared" si="202"/>
        <v>3617407.1500000004</v>
      </c>
      <c r="K219" s="34">
        <f t="shared" si="202"/>
        <v>2783217.82</v>
      </c>
      <c r="L219" s="34">
        <f t="shared" si="202"/>
        <v>77933.97</v>
      </c>
      <c r="M219" s="156">
        <f t="shared" si="195"/>
        <v>22.361283233706907</v>
      </c>
      <c r="N219" s="34">
        <f t="shared" si="202"/>
        <v>300000</v>
      </c>
      <c r="O219" s="34">
        <f t="shared" si="202"/>
        <v>300000</v>
      </c>
      <c r="P219" s="34">
        <f t="shared" si="202"/>
        <v>0</v>
      </c>
      <c r="Q219" s="34">
        <f t="shared" si="202"/>
        <v>0</v>
      </c>
      <c r="R219" s="34">
        <f t="shared" si="202"/>
        <v>0</v>
      </c>
      <c r="S219" s="34">
        <f t="shared" si="202"/>
        <v>300000</v>
      </c>
      <c r="T219" s="34">
        <f t="shared" si="202"/>
        <v>0</v>
      </c>
      <c r="U219" s="34">
        <f t="shared" si="202"/>
        <v>0</v>
      </c>
      <c r="V219" s="34">
        <f t="shared" si="202"/>
        <v>0</v>
      </c>
      <c r="W219" s="34">
        <f t="shared" si="202"/>
        <v>0</v>
      </c>
      <c r="X219" s="34">
        <f t="shared" si="202"/>
        <v>0</v>
      </c>
      <c r="Y219" s="34">
        <f t="shared" si="202"/>
        <v>0</v>
      </c>
      <c r="Z219" s="156">
        <f t="shared" si="192"/>
        <v>0</v>
      </c>
      <c r="AA219" s="34">
        <f t="shared" si="202"/>
        <v>3617407.1500000004</v>
      </c>
      <c r="AB219" s="34">
        <f>AB220</f>
        <v>16477100</v>
      </c>
      <c r="AC219" s="205"/>
      <c r="AD219" s="35"/>
    </row>
    <row r="220" spans="1:30" s="3" customFormat="1" ht="39" customHeight="1" x14ac:dyDescent="0.25">
      <c r="A220" s="36" t="s">
        <v>175</v>
      </c>
      <c r="B220" s="48"/>
      <c r="C220" s="48"/>
      <c r="D220" s="38" t="s">
        <v>342</v>
      </c>
      <c r="E220" s="39">
        <f>E221+E222</f>
        <v>16177100</v>
      </c>
      <c r="F220" s="39">
        <f t="shared" ref="F220:AA220" si="203">F221+F222</f>
        <v>16177100</v>
      </c>
      <c r="G220" s="39">
        <f t="shared" si="203"/>
        <v>12289400</v>
      </c>
      <c r="H220" s="39">
        <f t="shared" si="203"/>
        <v>226900</v>
      </c>
      <c r="I220" s="39">
        <f t="shared" si="203"/>
        <v>0</v>
      </c>
      <c r="J220" s="39">
        <f t="shared" si="203"/>
        <v>3617407.1500000004</v>
      </c>
      <c r="K220" s="39">
        <f t="shared" si="203"/>
        <v>2783217.82</v>
      </c>
      <c r="L220" s="39">
        <f t="shared" si="203"/>
        <v>77933.97</v>
      </c>
      <c r="M220" s="157">
        <f t="shared" si="195"/>
        <v>22.361283233706907</v>
      </c>
      <c r="N220" s="39">
        <f t="shared" si="203"/>
        <v>300000</v>
      </c>
      <c r="O220" s="39">
        <f t="shared" si="203"/>
        <v>300000</v>
      </c>
      <c r="P220" s="39">
        <f t="shared" si="203"/>
        <v>0</v>
      </c>
      <c r="Q220" s="39">
        <f t="shared" si="203"/>
        <v>0</v>
      </c>
      <c r="R220" s="39">
        <f t="shared" si="203"/>
        <v>0</v>
      </c>
      <c r="S220" s="39">
        <f t="shared" si="203"/>
        <v>300000</v>
      </c>
      <c r="T220" s="39">
        <f t="shared" si="203"/>
        <v>0</v>
      </c>
      <c r="U220" s="39">
        <f t="shared" si="203"/>
        <v>0</v>
      </c>
      <c r="V220" s="39">
        <f t="shared" si="203"/>
        <v>0</v>
      </c>
      <c r="W220" s="39">
        <f t="shared" si="203"/>
        <v>0</v>
      </c>
      <c r="X220" s="39">
        <f t="shared" si="203"/>
        <v>0</v>
      </c>
      <c r="Y220" s="39">
        <f t="shared" si="203"/>
        <v>0</v>
      </c>
      <c r="Z220" s="157">
        <f t="shared" si="192"/>
        <v>0</v>
      </c>
      <c r="AA220" s="39">
        <f t="shared" si="203"/>
        <v>3617407.1500000004</v>
      </c>
      <c r="AB220" s="39">
        <f t="shared" ref="AB220" si="204">AB221+AB222</f>
        <v>16477100</v>
      </c>
      <c r="AC220" s="205"/>
      <c r="AD220" s="40"/>
    </row>
    <row r="221" spans="1:30" s="1" customFormat="1" ht="50.25" customHeight="1" x14ac:dyDescent="0.25">
      <c r="A221" s="41" t="s">
        <v>176</v>
      </c>
      <c r="B221" s="42" t="str">
        <f>'дод 5'!A18</f>
        <v>0160</v>
      </c>
      <c r="C221" s="42" t="str">
        <f>'дод 5'!B18</f>
        <v>0111</v>
      </c>
      <c r="D221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21" s="44">
        <f t="shared" ref="E221:E222" si="205">F221+I221</f>
        <v>15692100</v>
      </c>
      <c r="F221" s="44">
        <v>15692100</v>
      </c>
      <c r="G221" s="44">
        <v>12289400</v>
      </c>
      <c r="H221" s="44">
        <v>226900</v>
      </c>
      <c r="I221" s="44"/>
      <c r="J221" s="44">
        <v>3582903.99</v>
      </c>
      <c r="K221" s="44">
        <v>2783217.82</v>
      </c>
      <c r="L221" s="44">
        <v>77933.97</v>
      </c>
      <c r="M221" s="158">
        <f t="shared" si="195"/>
        <v>22.832533504119908</v>
      </c>
      <c r="N221" s="44">
        <f>P221+S221</f>
        <v>300000</v>
      </c>
      <c r="O221" s="44">
        <v>300000</v>
      </c>
      <c r="P221" s="44"/>
      <c r="Q221" s="44"/>
      <c r="R221" s="44"/>
      <c r="S221" s="44">
        <v>300000</v>
      </c>
      <c r="T221" s="44">
        <f t="shared" si="191"/>
        <v>0</v>
      </c>
      <c r="U221" s="44"/>
      <c r="V221" s="44"/>
      <c r="W221" s="44"/>
      <c r="X221" s="44"/>
      <c r="Y221" s="44"/>
      <c r="Z221" s="158">
        <f t="shared" si="192"/>
        <v>0</v>
      </c>
      <c r="AA221" s="44">
        <f t="shared" si="193"/>
        <v>3582903.99</v>
      </c>
      <c r="AB221" s="44">
        <f t="shared" ref="AB221:AB222" si="206">E221+N221</f>
        <v>15992100</v>
      </c>
      <c r="AC221" s="205"/>
      <c r="AD221" s="45"/>
    </row>
    <row r="222" spans="1:30" s="1" customFormat="1" ht="22.5" customHeight="1" x14ac:dyDescent="0.25">
      <c r="A222" s="41" t="s">
        <v>215</v>
      </c>
      <c r="B222" s="42" t="str">
        <f>'дод 5'!A177</f>
        <v>7693</v>
      </c>
      <c r="C222" s="42" t="str">
        <f>'дод 5'!B177</f>
        <v>0490</v>
      </c>
      <c r="D222" s="43" t="str">
        <f>'дод 5'!C177</f>
        <v>Інші заходи, пов'язані з економічною діяльністю</v>
      </c>
      <c r="E222" s="44">
        <f t="shared" si="205"/>
        <v>485000</v>
      </c>
      <c r="F222" s="44">
        <v>485000</v>
      </c>
      <c r="G222" s="44"/>
      <c r="H222" s="44"/>
      <c r="I222" s="44"/>
      <c r="J222" s="44">
        <v>34503.160000000003</v>
      </c>
      <c r="K222" s="44"/>
      <c r="L222" s="44"/>
      <c r="M222" s="158">
        <f t="shared" si="195"/>
        <v>7.1140536082474242</v>
      </c>
      <c r="N222" s="44">
        <f t="shared" ref="N222" si="207">P222+S222</f>
        <v>0</v>
      </c>
      <c r="O222" s="44"/>
      <c r="P222" s="44"/>
      <c r="Q222" s="44"/>
      <c r="R222" s="44"/>
      <c r="S222" s="44"/>
      <c r="T222" s="44">
        <f t="shared" si="191"/>
        <v>0</v>
      </c>
      <c r="U222" s="44"/>
      <c r="V222" s="44"/>
      <c r="W222" s="44"/>
      <c r="X222" s="44"/>
      <c r="Y222" s="44"/>
      <c r="Z222" s="158"/>
      <c r="AA222" s="44">
        <f t="shared" si="193"/>
        <v>34503.160000000003</v>
      </c>
      <c r="AB222" s="44">
        <f t="shared" si="206"/>
        <v>485000</v>
      </c>
      <c r="AC222" s="205"/>
      <c r="AD222" s="45"/>
    </row>
    <row r="223" spans="1:30" s="13" customFormat="1" ht="43.5" customHeight="1" x14ac:dyDescent="0.25">
      <c r="A223" s="32" t="s">
        <v>339</v>
      </c>
      <c r="B223" s="47"/>
      <c r="C223" s="47"/>
      <c r="D223" s="33" t="s">
        <v>33</v>
      </c>
      <c r="E223" s="34">
        <f>E224</f>
        <v>31526500</v>
      </c>
      <c r="F223" s="34">
        <f t="shared" ref="F223:Y223" si="208">F224</f>
        <v>31526500</v>
      </c>
      <c r="G223" s="34">
        <f t="shared" si="208"/>
        <v>22678000</v>
      </c>
      <c r="H223" s="34">
        <f t="shared" si="208"/>
        <v>839200</v>
      </c>
      <c r="I223" s="34">
        <f t="shared" si="208"/>
        <v>0</v>
      </c>
      <c r="J223" s="34">
        <f t="shared" si="208"/>
        <v>7680997.5999999996</v>
      </c>
      <c r="K223" s="34">
        <f t="shared" si="208"/>
        <v>5984523.2999999998</v>
      </c>
      <c r="L223" s="34">
        <f t="shared" si="208"/>
        <v>152319.96</v>
      </c>
      <c r="M223" s="156">
        <f t="shared" si="195"/>
        <v>24.363622983838994</v>
      </c>
      <c r="N223" s="34">
        <f t="shared" si="208"/>
        <v>1280000</v>
      </c>
      <c r="O223" s="34">
        <f t="shared" si="208"/>
        <v>180000</v>
      </c>
      <c r="P223" s="34">
        <f t="shared" si="208"/>
        <v>971000</v>
      </c>
      <c r="Q223" s="34">
        <f t="shared" si="208"/>
        <v>0</v>
      </c>
      <c r="R223" s="34">
        <f t="shared" si="208"/>
        <v>0</v>
      </c>
      <c r="S223" s="34">
        <f t="shared" si="208"/>
        <v>309000</v>
      </c>
      <c r="T223" s="34">
        <f t="shared" si="208"/>
        <v>216114.56</v>
      </c>
      <c r="U223" s="34">
        <f t="shared" si="208"/>
        <v>16114.56</v>
      </c>
      <c r="V223" s="34">
        <f t="shared" si="208"/>
        <v>200000</v>
      </c>
      <c r="W223" s="34">
        <f t="shared" si="208"/>
        <v>0</v>
      </c>
      <c r="X223" s="34">
        <f t="shared" si="208"/>
        <v>0</v>
      </c>
      <c r="Y223" s="34">
        <f t="shared" si="208"/>
        <v>16114.56</v>
      </c>
      <c r="Z223" s="156">
        <f t="shared" si="192"/>
        <v>16.883949999999999</v>
      </c>
      <c r="AA223" s="34">
        <f>AA224</f>
        <v>7897112.1599999992</v>
      </c>
      <c r="AB223" s="34">
        <f t="shared" ref="AB223" si="209">AB224</f>
        <v>32806500</v>
      </c>
      <c r="AC223" s="205"/>
      <c r="AD223" s="35"/>
    </row>
    <row r="224" spans="1:30" s="3" customFormat="1" ht="46.5" customHeight="1" x14ac:dyDescent="0.25">
      <c r="A224" s="36" t="s">
        <v>340</v>
      </c>
      <c r="B224" s="48"/>
      <c r="C224" s="48"/>
      <c r="D224" s="38" t="s">
        <v>33</v>
      </c>
      <c r="E224" s="39">
        <f>E225+E226+E227+E228+E229+E231+E230</f>
        <v>31526500</v>
      </c>
      <c r="F224" s="39">
        <f t="shared" ref="F224:Y224" si="210">F225+F226+F227+F228+F229+F231+F230</f>
        <v>31526500</v>
      </c>
      <c r="G224" s="39">
        <f t="shared" si="210"/>
        <v>22678000</v>
      </c>
      <c r="H224" s="39">
        <f t="shared" si="210"/>
        <v>839200</v>
      </c>
      <c r="I224" s="39">
        <f t="shared" si="210"/>
        <v>0</v>
      </c>
      <c r="J224" s="39">
        <f t="shared" si="210"/>
        <v>7680997.5999999996</v>
      </c>
      <c r="K224" s="39">
        <f t="shared" si="210"/>
        <v>5984523.2999999998</v>
      </c>
      <c r="L224" s="39">
        <f t="shared" si="210"/>
        <v>152319.96</v>
      </c>
      <c r="M224" s="157">
        <f t="shared" si="195"/>
        <v>24.363622983838994</v>
      </c>
      <c r="N224" s="39">
        <f t="shared" si="210"/>
        <v>1280000</v>
      </c>
      <c r="O224" s="39">
        <f t="shared" si="210"/>
        <v>180000</v>
      </c>
      <c r="P224" s="39">
        <f t="shared" si="210"/>
        <v>971000</v>
      </c>
      <c r="Q224" s="39">
        <f t="shared" si="210"/>
        <v>0</v>
      </c>
      <c r="R224" s="39">
        <f t="shared" si="210"/>
        <v>0</v>
      </c>
      <c r="S224" s="39">
        <f t="shared" si="210"/>
        <v>309000</v>
      </c>
      <c r="T224" s="39">
        <f t="shared" si="210"/>
        <v>216114.56</v>
      </c>
      <c r="U224" s="39">
        <f t="shared" si="210"/>
        <v>16114.56</v>
      </c>
      <c r="V224" s="39">
        <f t="shared" si="210"/>
        <v>200000</v>
      </c>
      <c r="W224" s="39">
        <f t="shared" si="210"/>
        <v>0</v>
      </c>
      <c r="X224" s="39">
        <f t="shared" si="210"/>
        <v>0</v>
      </c>
      <c r="Y224" s="39">
        <f t="shared" si="210"/>
        <v>16114.56</v>
      </c>
      <c r="Z224" s="157">
        <f t="shared" si="192"/>
        <v>16.883949999999999</v>
      </c>
      <c r="AA224" s="39">
        <f>AA225+AA226+AA227+AA228+AA229+AA231+AA230</f>
        <v>7897112.1599999992</v>
      </c>
      <c r="AB224" s="39">
        <f t="shared" ref="AB224" si="211">AB225+AB226+AB227+AB228+AB229+AB231+AB230</f>
        <v>32806500</v>
      </c>
      <c r="AC224" s="205"/>
      <c r="AD224" s="40"/>
    </row>
    <row r="225" spans="1:30" s="1" customFormat="1" ht="61.5" customHeight="1" x14ac:dyDescent="0.25">
      <c r="A225" s="41" t="s">
        <v>341</v>
      </c>
      <c r="B225" s="42" t="str">
        <f>'дод 5'!A18</f>
        <v>0160</v>
      </c>
      <c r="C225" s="42" t="str">
        <f>'дод 5'!B18</f>
        <v>0111</v>
      </c>
      <c r="D225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25" s="44">
        <f>F225+I225</f>
        <v>29480500</v>
      </c>
      <c r="F225" s="44">
        <f>29873500-393000</f>
        <v>29480500</v>
      </c>
      <c r="G225" s="44">
        <f>23000100-322100</f>
        <v>22678000</v>
      </c>
      <c r="H225" s="44">
        <v>839200</v>
      </c>
      <c r="I225" s="44"/>
      <c r="J225" s="44">
        <v>7633605.5999999996</v>
      </c>
      <c r="K225" s="44">
        <v>5984523.2999999998</v>
      </c>
      <c r="L225" s="44">
        <v>152319.96</v>
      </c>
      <c r="M225" s="158">
        <f t="shared" si="195"/>
        <v>25.893745357100457</v>
      </c>
      <c r="N225" s="44">
        <f>P225+S225</f>
        <v>0</v>
      </c>
      <c r="O225" s="44"/>
      <c r="P225" s="44"/>
      <c r="Q225" s="44"/>
      <c r="R225" s="44"/>
      <c r="S225" s="44"/>
      <c r="T225" s="44">
        <f t="shared" si="191"/>
        <v>0</v>
      </c>
      <c r="U225" s="44"/>
      <c r="V225" s="44"/>
      <c r="W225" s="44"/>
      <c r="X225" s="44"/>
      <c r="Y225" s="44"/>
      <c r="Z225" s="158"/>
      <c r="AA225" s="44">
        <f t="shared" si="193"/>
        <v>7633605.5999999996</v>
      </c>
      <c r="AB225" s="44">
        <f>E225+N225</f>
        <v>29480500</v>
      </c>
      <c r="AC225" s="205"/>
      <c r="AD225" s="45"/>
    </row>
    <row r="226" spans="1:30" s="1" customFormat="1" ht="27.75" customHeight="1" x14ac:dyDescent="0.25">
      <c r="A226" s="41" t="s">
        <v>344</v>
      </c>
      <c r="B226" s="42" t="str">
        <f>'дод 5'!A151</f>
        <v>7130</v>
      </c>
      <c r="C226" s="42" t="str">
        <f>'дод 5'!B151</f>
        <v>0421</v>
      </c>
      <c r="D226" s="46" t="str">
        <f>'дод 5'!C151</f>
        <v>Здійснення заходів із землеустрою</v>
      </c>
      <c r="E226" s="44">
        <f t="shared" ref="E226:E231" si="212">F226+I226</f>
        <v>1400000</v>
      </c>
      <c r="F226" s="44">
        <v>1400000</v>
      </c>
      <c r="G226" s="44"/>
      <c r="H226" s="44"/>
      <c r="I226" s="44"/>
      <c r="J226" s="44"/>
      <c r="K226" s="44"/>
      <c r="L226" s="44"/>
      <c r="M226" s="158">
        <f t="shared" si="195"/>
        <v>0</v>
      </c>
      <c r="N226" s="44">
        <f t="shared" ref="N226:N231" si="213">P226+S226</f>
        <v>0</v>
      </c>
      <c r="O226" s="44"/>
      <c r="P226" s="44"/>
      <c r="Q226" s="44"/>
      <c r="R226" s="44"/>
      <c r="S226" s="44"/>
      <c r="T226" s="44">
        <f t="shared" si="191"/>
        <v>0</v>
      </c>
      <c r="U226" s="44"/>
      <c r="V226" s="44"/>
      <c r="W226" s="44"/>
      <c r="X226" s="44"/>
      <c r="Y226" s="44"/>
      <c r="Z226" s="158"/>
      <c r="AA226" s="44">
        <f t="shared" si="193"/>
        <v>0</v>
      </c>
      <c r="AB226" s="44">
        <f t="shared" ref="AB226:AB231" si="214">E226+N226</f>
        <v>1400000</v>
      </c>
      <c r="AC226" s="205"/>
      <c r="AD226" s="45"/>
    </row>
    <row r="227" spans="1:30" s="1" customFormat="1" ht="45.75" customHeight="1" x14ac:dyDescent="0.25">
      <c r="A227" s="41" t="s">
        <v>343</v>
      </c>
      <c r="B227" s="42">
        <f>'дод 5'!A155</f>
        <v>7370</v>
      </c>
      <c r="C227" s="42" t="str">
        <f>'дод 5'!B155</f>
        <v>0490</v>
      </c>
      <c r="D227" s="46" t="str">
        <f>'дод 5'!C155</f>
        <v>Реалізація інших заходів щодо соціально-економічного розвитку територій</v>
      </c>
      <c r="E227" s="44">
        <f t="shared" si="212"/>
        <v>46000</v>
      </c>
      <c r="F227" s="44">
        <v>46000</v>
      </c>
      <c r="G227" s="44"/>
      <c r="H227" s="44"/>
      <c r="I227" s="44"/>
      <c r="J227" s="44">
        <v>46000</v>
      </c>
      <c r="K227" s="44"/>
      <c r="L227" s="44"/>
      <c r="M227" s="158">
        <f t="shared" si="195"/>
        <v>100</v>
      </c>
      <c r="N227" s="44">
        <f t="shared" si="213"/>
        <v>100000</v>
      </c>
      <c r="O227" s="44">
        <v>100000</v>
      </c>
      <c r="P227" s="44"/>
      <c r="Q227" s="44"/>
      <c r="R227" s="44"/>
      <c r="S227" s="44">
        <v>100000</v>
      </c>
      <c r="T227" s="44">
        <f t="shared" si="191"/>
        <v>16114.56</v>
      </c>
      <c r="U227" s="44">
        <v>16114.56</v>
      </c>
      <c r="V227" s="44"/>
      <c r="W227" s="44"/>
      <c r="X227" s="44"/>
      <c r="Y227" s="44">
        <v>16114.56</v>
      </c>
      <c r="Z227" s="158">
        <f t="shared" si="192"/>
        <v>16.114560000000001</v>
      </c>
      <c r="AA227" s="44">
        <f t="shared" si="193"/>
        <v>62114.559999999998</v>
      </c>
      <c r="AB227" s="44">
        <f t="shared" si="214"/>
        <v>146000</v>
      </c>
      <c r="AC227" s="205"/>
      <c r="AD227" s="45"/>
    </row>
    <row r="228" spans="1:30" s="1" customFormat="1" ht="45.75" customHeight="1" x14ac:dyDescent="0.25">
      <c r="A228" s="41" t="s">
        <v>345</v>
      </c>
      <c r="B228" s="42" t="str">
        <f>'дод 5'!A172</f>
        <v>7650</v>
      </c>
      <c r="C228" s="42" t="str">
        <f>'дод 5'!B172</f>
        <v>0490</v>
      </c>
      <c r="D228" s="46" t="str">
        <f>'дод 5'!C172</f>
        <v>Проведення експертної грошової оцінки земельної ділянки чи права на неї</v>
      </c>
      <c r="E228" s="44">
        <f t="shared" si="212"/>
        <v>0</v>
      </c>
      <c r="F228" s="44"/>
      <c r="G228" s="44"/>
      <c r="H228" s="44"/>
      <c r="I228" s="44"/>
      <c r="J228" s="44"/>
      <c r="K228" s="44"/>
      <c r="L228" s="44"/>
      <c r="M228" s="158"/>
      <c r="N228" s="44">
        <f t="shared" si="213"/>
        <v>30000</v>
      </c>
      <c r="O228" s="44">
        <v>30000</v>
      </c>
      <c r="P228" s="44"/>
      <c r="Q228" s="44"/>
      <c r="R228" s="44"/>
      <c r="S228" s="44">
        <v>30000</v>
      </c>
      <c r="T228" s="44">
        <f t="shared" si="191"/>
        <v>0</v>
      </c>
      <c r="U228" s="44"/>
      <c r="V228" s="44"/>
      <c r="W228" s="44"/>
      <c r="X228" s="44"/>
      <c r="Y228" s="44"/>
      <c r="Z228" s="158">
        <f t="shared" si="192"/>
        <v>0</v>
      </c>
      <c r="AA228" s="44">
        <f t="shared" si="193"/>
        <v>0</v>
      </c>
      <c r="AB228" s="44">
        <f t="shared" si="214"/>
        <v>30000</v>
      </c>
      <c r="AC228" s="205"/>
      <c r="AD228" s="45"/>
    </row>
    <row r="229" spans="1:30" s="1" customFormat="1" ht="56.1" customHeight="1" x14ac:dyDescent="0.25">
      <c r="A229" s="41" t="s">
        <v>346</v>
      </c>
      <c r="B229" s="42" t="str">
        <f>'дод 5'!A173</f>
        <v>7660</v>
      </c>
      <c r="C229" s="42" t="str">
        <f>'дод 5'!B173</f>
        <v>0490</v>
      </c>
      <c r="D229" s="46" t="str">
        <f>'дод 5'!C173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229" s="44">
        <f t="shared" si="212"/>
        <v>0</v>
      </c>
      <c r="F229" s="44"/>
      <c r="G229" s="44"/>
      <c r="H229" s="44"/>
      <c r="I229" s="44"/>
      <c r="J229" s="44"/>
      <c r="K229" s="44"/>
      <c r="L229" s="44"/>
      <c r="M229" s="158"/>
      <c r="N229" s="44">
        <f t="shared" si="213"/>
        <v>50000</v>
      </c>
      <c r="O229" s="44">
        <v>50000</v>
      </c>
      <c r="P229" s="44"/>
      <c r="Q229" s="44"/>
      <c r="R229" s="44"/>
      <c r="S229" s="44">
        <v>50000</v>
      </c>
      <c r="T229" s="44">
        <f t="shared" si="191"/>
        <v>0</v>
      </c>
      <c r="U229" s="44"/>
      <c r="V229" s="44"/>
      <c r="W229" s="44"/>
      <c r="X229" s="44"/>
      <c r="Y229" s="44"/>
      <c r="Z229" s="158">
        <f t="shared" si="192"/>
        <v>0</v>
      </c>
      <c r="AA229" s="44">
        <f t="shared" si="193"/>
        <v>0</v>
      </c>
      <c r="AB229" s="44">
        <f t="shared" si="214"/>
        <v>50000</v>
      </c>
      <c r="AC229" s="205"/>
      <c r="AD229" s="45"/>
    </row>
    <row r="230" spans="1:30" s="1" customFormat="1" ht="108.75" customHeight="1" x14ac:dyDescent="0.25">
      <c r="A230" s="41" t="s">
        <v>392</v>
      </c>
      <c r="B230" s="42" t="str">
        <f>'дод 5'!A176</f>
        <v>7691</v>
      </c>
      <c r="C230" s="42" t="str">
        <f>'дод 5'!B176</f>
        <v>0490</v>
      </c>
      <c r="D230" s="46" t="str">
        <f>'дод 5'!C176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230" s="44">
        <f t="shared" ref="E230" si="215">F230+I230</f>
        <v>0</v>
      </c>
      <c r="F230" s="44"/>
      <c r="G230" s="44"/>
      <c r="H230" s="44"/>
      <c r="I230" s="44"/>
      <c r="J230" s="44"/>
      <c r="K230" s="44"/>
      <c r="L230" s="44"/>
      <c r="M230" s="158"/>
      <c r="N230" s="44">
        <f t="shared" ref="N230" si="216">P230+S230</f>
        <v>1100000</v>
      </c>
      <c r="O230" s="44"/>
      <c r="P230" s="44">
        <v>971000</v>
      </c>
      <c r="Q230" s="44"/>
      <c r="R230" s="44"/>
      <c r="S230" s="44">
        <v>129000</v>
      </c>
      <c r="T230" s="44">
        <f t="shared" si="191"/>
        <v>200000</v>
      </c>
      <c r="U230" s="44"/>
      <c r="V230" s="44">
        <v>200000</v>
      </c>
      <c r="W230" s="44"/>
      <c r="X230" s="44"/>
      <c r="Y230" s="44"/>
      <c r="Z230" s="158">
        <f t="shared" si="192"/>
        <v>18.181818181818183</v>
      </c>
      <c r="AA230" s="44">
        <f t="shared" si="193"/>
        <v>200000</v>
      </c>
      <c r="AB230" s="44">
        <f t="shared" ref="AB230" si="217">E230+N230</f>
        <v>1100000</v>
      </c>
      <c r="AC230" s="206">
        <v>11</v>
      </c>
      <c r="AD230" s="45"/>
    </row>
    <row r="231" spans="1:30" s="1" customFormat="1" ht="27.75" customHeight="1" x14ac:dyDescent="0.25">
      <c r="A231" s="41" t="s">
        <v>347</v>
      </c>
      <c r="B231" s="42" t="str">
        <f>'дод 5'!A177</f>
        <v>7693</v>
      </c>
      <c r="C231" s="42" t="str">
        <f>'дод 5'!B177</f>
        <v>0490</v>
      </c>
      <c r="D231" s="46" t="str">
        <f>'дод 5'!C177</f>
        <v>Інші заходи, пов'язані з економічною діяльністю</v>
      </c>
      <c r="E231" s="44">
        <f t="shared" si="212"/>
        <v>600000</v>
      </c>
      <c r="F231" s="44">
        <v>600000</v>
      </c>
      <c r="G231" s="44"/>
      <c r="H231" s="44"/>
      <c r="I231" s="44"/>
      <c r="J231" s="44">
        <v>1392</v>
      </c>
      <c r="K231" s="44"/>
      <c r="L231" s="44"/>
      <c r="M231" s="158">
        <f t="shared" si="195"/>
        <v>0.23200000000000001</v>
      </c>
      <c r="N231" s="44">
        <f t="shared" si="213"/>
        <v>0</v>
      </c>
      <c r="O231" s="44"/>
      <c r="P231" s="44"/>
      <c r="Q231" s="44"/>
      <c r="R231" s="44"/>
      <c r="S231" s="44"/>
      <c r="T231" s="44">
        <f t="shared" si="191"/>
        <v>0</v>
      </c>
      <c r="U231" s="44"/>
      <c r="V231" s="44"/>
      <c r="W231" s="44"/>
      <c r="X231" s="44"/>
      <c r="Y231" s="44"/>
      <c r="Z231" s="158"/>
      <c r="AA231" s="44">
        <f t="shared" si="193"/>
        <v>1392</v>
      </c>
      <c r="AB231" s="44">
        <f t="shared" si="214"/>
        <v>600000</v>
      </c>
      <c r="AC231" s="206"/>
      <c r="AD231" s="45"/>
    </row>
    <row r="232" spans="1:30" s="13" customFormat="1" ht="48" customHeight="1" x14ac:dyDescent="0.25">
      <c r="A232" s="32" t="s">
        <v>177</v>
      </c>
      <c r="B232" s="47"/>
      <c r="C232" s="47"/>
      <c r="D232" s="33" t="s">
        <v>34</v>
      </c>
      <c r="E232" s="34">
        <f>E233</f>
        <v>482662456</v>
      </c>
      <c r="F232" s="34">
        <f t="shared" ref="F232:AA232" si="218">F233</f>
        <v>37973159</v>
      </c>
      <c r="G232" s="34">
        <f t="shared" si="218"/>
        <v>23445000</v>
      </c>
      <c r="H232" s="34">
        <f t="shared" si="218"/>
        <v>593000</v>
      </c>
      <c r="I232" s="34">
        <f t="shared" si="218"/>
        <v>0</v>
      </c>
      <c r="J232" s="34">
        <f t="shared" si="218"/>
        <v>8376556.6500000004</v>
      </c>
      <c r="K232" s="34">
        <f t="shared" si="218"/>
        <v>6638143.04</v>
      </c>
      <c r="L232" s="34">
        <f t="shared" si="218"/>
        <v>146479.21</v>
      </c>
      <c r="M232" s="156">
        <f t="shared" si="195"/>
        <v>1.735489584050018</v>
      </c>
      <c r="N232" s="34">
        <f t="shared" si="218"/>
        <v>357000</v>
      </c>
      <c r="O232" s="34">
        <f t="shared" si="218"/>
        <v>0</v>
      </c>
      <c r="P232" s="34">
        <f t="shared" si="218"/>
        <v>357000</v>
      </c>
      <c r="Q232" s="34">
        <f t="shared" si="218"/>
        <v>0</v>
      </c>
      <c r="R232" s="34">
        <f t="shared" si="218"/>
        <v>0</v>
      </c>
      <c r="S232" s="34">
        <f t="shared" si="218"/>
        <v>0</v>
      </c>
      <c r="T232" s="34">
        <f t="shared" si="218"/>
        <v>23849</v>
      </c>
      <c r="U232" s="34">
        <f t="shared" si="218"/>
        <v>0</v>
      </c>
      <c r="V232" s="34">
        <f t="shared" si="218"/>
        <v>23849</v>
      </c>
      <c r="W232" s="34">
        <f t="shared" si="218"/>
        <v>0</v>
      </c>
      <c r="X232" s="34">
        <f t="shared" si="218"/>
        <v>0</v>
      </c>
      <c r="Y232" s="34">
        <f t="shared" si="218"/>
        <v>0</v>
      </c>
      <c r="Z232" s="156">
        <f t="shared" si="192"/>
        <v>6.6803921568627453</v>
      </c>
      <c r="AA232" s="34">
        <f t="shared" si="218"/>
        <v>8400405.6500000004</v>
      </c>
      <c r="AB232" s="34">
        <f t="shared" ref="AB232" si="219">AB233</f>
        <v>483019456</v>
      </c>
      <c r="AC232" s="206"/>
      <c r="AD232" s="35"/>
    </row>
    <row r="233" spans="1:30" s="3" customFormat="1" ht="34.5" customHeight="1" x14ac:dyDescent="0.25">
      <c r="A233" s="36" t="s">
        <v>178</v>
      </c>
      <c r="B233" s="48"/>
      <c r="C233" s="48"/>
      <c r="D233" s="38" t="s">
        <v>34</v>
      </c>
      <c r="E233" s="39">
        <f>E234+E235+E236+E237+E238+E239+E240</f>
        <v>482662456</v>
      </c>
      <c r="F233" s="39">
        <f t="shared" ref="F233:AA233" si="220">F234+F235+F236+F237+F238+F239+F240</f>
        <v>37973159</v>
      </c>
      <c r="G233" s="39">
        <f t="shared" si="220"/>
        <v>23445000</v>
      </c>
      <c r="H233" s="39">
        <f t="shared" si="220"/>
        <v>593000</v>
      </c>
      <c r="I233" s="39">
        <f t="shared" si="220"/>
        <v>0</v>
      </c>
      <c r="J233" s="39">
        <f t="shared" si="220"/>
        <v>8376556.6500000004</v>
      </c>
      <c r="K233" s="39">
        <f t="shared" si="220"/>
        <v>6638143.04</v>
      </c>
      <c r="L233" s="39">
        <f t="shared" si="220"/>
        <v>146479.21</v>
      </c>
      <c r="M233" s="157">
        <f t="shared" si="195"/>
        <v>1.735489584050018</v>
      </c>
      <c r="N233" s="39">
        <f t="shared" si="220"/>
        <v>357000</v>
      </c>
      <c r="O233" s="39">
        <f t="shared" si="220"/>
        <v>0</v>
      </c>
      <c r="P233" s="39">
        <f t="shared" si="220"/>
        <v>357000</v>
      </c>
      <c r="Q233" s="39">
        <f t="shared" si="220"/>
        <v>0</v>
      </c>
      <c r="R233" s="39">
        <f t="shared" si="220"/>
        <v>0</v>
      </c>
      <c r="S233" s="39">
        <f t="shared" si="220"/>
        <v>0</v>
      </c>
      <c r="T233" s="39">
        <f t="shared" si="220"/>
        <v>23849</v>
      </c>
      <c r="U233" s="39">
        <f t="shared" si="220"/>
        <v>0</v>
      </c>
      <c r="V233" s="39">
        <f t="shared" si="220"/>
        <v>23849</v>
      </c>
      <c r="W233" s="39">
        <f t="shared" si="220"/>
        <v>0</v>
      </c>
      <c r="X233" s="39">
        <f t="shared" si="220"/>
        <v>0</v>
      </c>
      <c r="Y233" s="39">
        <f t="shared" si="220"/>
        <v>0</v>
      </c>
      <c r="Z233" s="157">
        <f t="shared" si="192"/>
        <v>6.6803921568627453</v>
      </c>
      <c r="AA233" s="39">
        <f t="shared" si="220"/>
        <v>8400405.6500000004</v>
      </c>
      <c r="AB233" s="39">
        <f t="shared" ref="AB233" si="221">AB234+AB235+AB236+AB237+AB238+AB239+AB240</f>
        <v>483019456</v>
      </c>
      <c r="AC233" s="206"/>
      <c r="AD233" s="40"/>
    </row>
    <row r="234" spans="1:30" s="1" customFormat="1" ht="47.85" customHeight="1" x14ac:dyDescent="0.25">
      <c r="A234" s="41" t="s">
        <v>179</v>
      </c>
      <c r="B234" s="42" t="str">
        <f>'дод 5'!A18</f>
        <v>0160</v>
      </c>
      <c r="C234" s="42" t="str">
        <f>'дод 5'!B18</f>
        <v>0111</v>
      </c>
      <c r="D234" s="43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34" s="44">
        <f t="shared" ref="E234:E239" si="222">F234+I234</f>
        <v>30195900</v>
      </c>
      <c r="F234" s="44">
        <f>30552200-439900+83600</f>
        <v>30195900</v>
      </c>
      <c r="G234" s="44">
        <f>23737000-360500+68500</f>
        <v>23445000</v>
      </c>
      <c r="H234" s="44">
        <v>593000</v>
      </c>
      <c r="I234" s="44"/>
      <c r="J234" s="44">
        <v>8355079.3600000003</v>
      </c>
      <c r="K234" s="44">
        <v>6638143.04</v>
      </c>
      <c r="L234" s="44">
        <v>146479.21</v>
      </c>
      <c r="M234" s="158">
        <f t="shared" si="195"/>
        <v>27.66958216181667</v>
      </c>
      <c r="N234" s="44">
        <f>P234+S234</f>
        <v>0</v>
      </c>
      <c r="O234" s="44"/>
      <c r="P234" s="44"/>
      <c r="Q234" s="44"/>
      <c r="R234" s="44"/>
      <c r="S234" s="44"/>
      <c r="T234" s="44">
        <f t="shared" si="191"/>
        <v>0</v>
      </c>
      <c r="U234" s="44"/>
      <c r="V234" s="44"/>
      <c r="W234" s="44"/>
      <c r="X234" s="44"/>
      <c r="Y234" s="44"/>
      <c r="Z234" s="158"/>
      <c r="AA234" s="44">
        <f t="shared" si="193"/>
        <v>8355079.3600000003</v>
      </c>
      <c r="AB234" s="44">
        <f t="shared" ref="AB234:AB240" si="223">E234+N234</f>
        <v>30195900</v>
      </c>
      <c r="AC234" s="206"/>
      <c r="AD234" s="45"/>
    </row>
    <row r="235" spans="1:30" s="1" customFormat="1" ht="30.75" customHeight="1" x14ac:dyDescent="0.25">
      <c r="A235" s="41" t="s">
        <v>212</v>
      </c>
      <c r="B235" s="42" t="str">
        <f>'дод 5'!A169</f>
        <v>7640</v>
      </c>
      <c r="C235" s="42" t="str">
        <f>'дод 5'!B169</f>
        <v>0470</v>
      </c>
      <c r="D235" s="43" t="s">
        <v>292</v>
      </c>
      <c r="E235" s="44">
        <f t="shared" si="222"/>
        <v>755000</v>
      </c>
      <c r="F235" s="44">
        <v>755000</v>
      </c>
      <c r="G235" s="44"/>
      <c r="H235" s="44"/>
      <c r="I235" s="44"/>
      <c r="J235" s="44">
        <v>21477.29</v>
      </c>
      <c r="K235" s="44"/>
      <c r="L235" s="44"/>
      <c r="M235" s="158">
        <f t="shared" si="195"/>
        <v>2.8446741721854307</v>
      </c>
      <c r="N235" s="44">
        <f t="shared" ref="N235:N240" si="224">P235+S235</f>
        <v>0</v>
      </c>
      <c r="O235" s="44"/>
      <c r="P235" s="44"/>
      <c r="Q235" s="44"/>
      <c r="R235" s="44"/>
      <c r="S235" s="44"/>
      <c r="T235" s="44">
        <f t="shared" si="191"/>
        <v>0</v>
      </c>
      <c r="U235" s="44"/>
      <c r="V235" s="44"/>
      <c r="W235" s="44"/>
      <c r="X235" s="44"/>
      <c r="Y235" s="44"/>
      <c r="Z235" s="158"/>
      <c r="AA235" s="44">
        <f t="shared" si="193"/>
        <v>21477.29</v>
      </c>
      <c r="AB235" s="44">
        <f t="shared" si="223"/>
        <v>755000</v>
      </c>
      <c r="AC235" s="206"/>
      <c r="AD235" s="45"/>
    </row>
    <row r="236" spans="1:30" s="1" customFormat="1" ht="42.75" customHeight="1" x14ac:dyDescent="0.25">
      <c r="A236" s="41" t="s">
        <v>256</v>
      </c>
      <c r="B236" s="42" t="str">
        <f>'дод 5'!A177</f>
        <v>7693</v>
      </c>
      <c r="C236" s="42" t="str">
        <f>'дод 5'!B177</f>
        <v>0490</v>
      </c>
      <c r="D236" s="43" t="str">
        <f>'дод 5'!C177</f>
        <v>Інші заходи, пов'язані з економічною діяльністю</v>
      </c>
      <c r="E236" s="44">
        <f>F236+I236</f>
        <v>154630</v>
      </c>
      <c r="F236" s="44">
        <v>154630</v>
      </c>
      <c r="G236" s="44"/>
      <c r="H236" s="44"/>
      <c r="I236" s="44"/>
      <c r="J236" s="44"/>
      <c r="K236" s="44"/>
      <c r="L236" s="44"/>
      <c r="M236" s="158">
        <f t="shared" si="195"/>
        <v>0</v>
      </c>
      <c r="N236" s="44">
        <f t="shared" si="224"/>
        <v>0</v>
      </c>
      <c r="O236" s="44"/>
      <c r="P236" s="44"/>
      <c r="Q236" s="44"/>
      <c r="R236" s="44"/>
      <c r="S236" s="44"/>
      <c r="T236" s="44">
        <f t="shared" si="191"/>
        <v>0</v>
      </c>
      <c r="U236" s="44"/>
      <c r="V236" s="44"/>
      <c r="W236" s="44"/>
      <c r="X236" s="44"/>
      <c r="Y236" s="44"/>
      <c r="Z236" s="158"/>
      <c r="AA236" s="44">
        <f t="shared" si="193"/>
        <v>0</v>
      </c>
      <c r="AB236" s="44">
        <f t="shared" si="223"/>
        <v>154630</v>
      </c>
      <c r="AC236" s="206"/>
      <c r="AD236" s="45"/>
    </row>
    <row r="237" spans="1:30" s="1" customFormat="1" ht="31.5" customHeight="1" x14ac:dyDescent="0.25">
      <c r="A237" s="41">
        <v>3718330</v>
      </c>
      <c r="B237" s="42">
        <f>'дод 5'!A189</f>
        <v>8330</v>
      </c>
      <c r="C237" s="42" t="str">
        <f>'дод 5'!B189</f>
        <v>0540</v>
      </c>
      <c r="D237" s="43" t="str">
        <f>'дод 5'!C189</f>
        <v xml:space="preserve">Інша діяльність у сфері екології та охорони природних ресурсів </v>
      </c>
      <c r="E237" s="44">
        <f t="shared" si="222"/>
        <v>75000</v>
      </c>
      <c r="F237" s="44">
        <v>75000</v>
      </c>
      <c r="G237" s="44"/>
      <c r="H237" s="44"/>
      <c r="I237" s="44"/>
      <c r="J237" s="44"/>
      <c r="K237" s="44"/>
      <c r="L237" s="44"/>
      <c r="M237" s="158">
        <f t="shared" si="195"/>
        <v>0</v>
      </c>
      <c r="N237" s="44">
        <f t="shared" si="224"/>
        <v>0</v>
      </c>
      <c r="O237" s="44"/>
      <c r="P237" s="44"/>
      <c r="Q237" s="44"/>
      <c r="R237" s="44"/>
      <c r="S237" s="44"/>
      <c r="T237" s="44">
        <f t="shared" si="191"/>
        <v>0</v>
      </c>
      <c r="U237" s="44"/>
      <c r="V237" s="44"/>
      <c r="W237" s="44"/>
      <c r="X237" s="44"/>
      <c r="Y237" s="44"/>
      <c r="Z237" s="158"/>
      <c r="AA237" s="44">
        <f t="shared" si="193"/>
        <v>0</v>
      </c>
      <c r="AB237" s="44">
        <f t="shared" si="223"/>
        <v>75000</v>
      </c>
      <c r="AC237" s="206"/>
      <c r="AD237" s="45"/>
    </row>
    <row r="238" spans="1:30" s="18" customFormat="1" ht="39.75" customHeight="1" x14ac:dyDescent="0.25">
      <c r="A238" s="41" t="s">
        <v>180</v>
      </c>
      <c r="B238" s="42" t="str">
        <f>'дод 5'!A190</f>
        <v>8340</v>
      </c>
      <c r="C238" s="41" t="str">
        <f>'дод 5'!B190</f>
        <v>0540</v>
      </c>
      <c r="D238" s="43" t="str">
        <f>'дод 5'!C190</f>
        <v>Природоохоронні заходи за рахунок цільових фондів</v>
      </c>
      <c r="E238" s="44">
        <f t="shared" si="222"/>
        <v>0</v>
      </c>
      <c r="F238" s="44"/>
      <c r="G238" s="44"/>
      <c r="H238" s="44"/>
      <c r="I238" s="44"/>
      <c r="J238" s="44"/>
      <c r="K238" s="44"/>
      <c r="L238" s="44"/>
      <c r="M238" s="158"/>
      <c r="N238" s="44">
        <f t="shared" si="224"/>
        <v>357000</v>
      </c>
      <c r="O238" s="44"/>
      <c r="P238" s="44">
        <f>190000+20000+50000+97000</f>
        <v>357000</v>
      </c>
      <c r="Q238" s="44"/>
      <c r="R238" s="44"/>
      <c r="S238" s="44"/>
      <c r="T238" s="44">
        <f t="shared" si="191"/>
        <v>23849</v>
      </c>
      <c r="U238" s="44"/>
      <c r="V238" s="44">
        <v>23849</v>
      </c>
      <c r="W238" s="44"/>
      <c r="X238" s="44"/>
      <c r="Y238" s="44"/>
      <c r="Z238" s="158">
        <f t="shared" si="192"/>
        <v>6.6803921568627453</v>
      </c>
      <c r="AA238" s="44">
        <f t="shared" si="193"/>
        <v>23849</v>
      </c>
      <c r="AB238" s="44">
        <f t="shared" si="223"/>
        <v>357000</v>
      </c>
      <c r="AC238" s="206"/>
      <c r="AD238" s="45"/>
    </row>
    <row r="239" spans="1:30" s="1" customFormat="1" ht="35.25" customHeight="1" x14ac:dyDescent="0.25">
      <c r="A239" s="41" t="s">
        <v>181</v>
      </c>
      <c r="B239" s="42" t="str">
        <f>'дод 5'!A191</f>
        <v>8600</v>
      </c>
      <c r="C239" s="42" t="str">
        <f>'дод 5'!B191</f>
        <v>0170</v>
      </c>
      <c r="D239" s="43" t="str">
        <f>'дод 5'!C191</f>
        <v>Обслуговування місцевого боргу</v>
      </c>
      <c r="E239" s="44">
        <f t="shared" si="222"/>
        <v>6792629</v>
      </c>
      <c r="F239" s="44">
        <v>6792629</v>
      </c>
      <c r="G239" s="44"/>
      <c r="H239" s="44"/>
      <c r="I239" s="44"/>
      <c r="J239" s="44"/>
      <c r="K239" s="44"/>
      <c r="L239" s="44"/>
      <c r="M239" s="158">
        <f t="shared" si="195"/>
        <v>0</v>
      </c>
      <c r="N239" s="44">
        <f t="shared" si="224"/>
        <v>0</v>
      </c>
      <c r="O239" s="44"/>
      <c r="P239" s="44"/>
      <c r="Q239" s="44"/>
      <c r="R239" s="44"/>
      <c r="S239" s="44"/>
      <c r="T239" s="44">
        <f t="shared" si="191"/>
        <v>0</v>
      </c>
      <c r="U239" s="44"/>
      <c r="V239" s="44"/>
      <c r="W239" s="44"/>
      <c r="X239" s="44"/>
      <c r="Y239" s="44"/>
      <c r="Z239" s="158"/>
      <c r="AA239" s="44">
        <f t="shared" si="193"/>
        <v>0</v>
      </c>
      <c r="AB239" s="44">
        <f t="shared" si="223"/>
        <v>6792629</v>
      </c>
      <c r="AC239" s="206"/>
      <c r="AD239" s="45"/>
    </row>
    <row r="240" spans="1:30" s="18" customFormat="1" ht="34.5" customHeight="1" x14ac:dyDescent="0.25">
      <c r="A240" s="41" t="s">
        <v>319</v>
      </c>
      <c r="B240" s="42">
        <f>'дод 5'!A193</f>
        <v>8710</v>
      </c>
      <c r="C240" s="42" t="str">
        <f>'дод 5'!B193</f>
        <v>0133</v>
      </c>
      <c r="D240" s="46" t="str">
        <f>'дод 5'!C193</f>
        <v>Резервний фонд місцевого бюджету</v>
      </c>
      <c r="E240" s="44">
        <f>456176551+2000000+11496964-149700-1000000-100000-21599237+380000-750000+514900-2280181</f>
        <v>444689297</v>
      </c>
      <c r="F240" s="44"/>
      <c r="G240" s="44"/>
      <c r="H240" s="44"/>
      <c r="I240" s="44"/>
      <c r="J240" s="44"/>
      <c r="K240" s="44"/>
      <c r="L240" s="44"/>
      <c r="M240" s="158">
        <f t="shared" si="195"/>
        <v>0</v>
      </c>
      <c r="N240" s="44">
        <f t="shared" si="224"/>
        <v>0</v>
      </c>
      <c r="O240" s="44"/>
      <c r="P240" s="44"/>
      <c r="Q240" s="44"/>
      <c r="R240" s="44"/>
      <c r="S240" s="44"/>
      <c r="T240" s="44">
        <f t="shared" si="191"/>
        <v>0</v>
      </c>
      <c r="U240" s="44"/>
      <c r="V240" s="44"/>
      <c r="W240" s="44"/>
      <c r="X240" s="44"/>
      <c r="Y240" s="44"/>
      <c r="Z240" s="158"/>
      <c r="AA240" s="44">
        <f t="shared" si="193"/>
        <v>0</v>
      </c>
      <c r="AB240" s="44">
        <f t="shared" si="223"/>
        <v>444689297</v>
      </c>
      <c r="AC240" s="206"/>
      <c r="AD240" s="45"/>
    </row>
    <row r="241" spans="1:30" s="1" customFormat="1" ht="54.75" customHeight="1" x14ac:dyDescent="0.25">
      <c r="A241" s="32" t="s">
        <v>358</v>
      </c>
      <c r="B241" s="42"/>
      <c r="C241" s="42"/>
      <c r="D241" s="33" t="s">
        <v>361</v>
      </c>
      <c r="E241" s="34">
        <f>E242</f>
        <v>21581700</v>
      </c>
      <c r="F241" s="34">
        <f t="shared" ref="F241:AA241" si="225">F242</f>
        <v>21581700</v>
      </c>
      <c r="G241" s="34">
        <f t="shared" si="225"/>
        <v>16869800</v>
      </c>
      <c r="H241" s="34">
        <f t="shared" si="225"/>
        <v>167500</v>
      </c>
      <c r="I241" s="34">
        <f t="shared" si="225"/>
        <v>0</v>
      </c>
      <c r="J241" s="34">
        <f t="shared" si="225"/>
        <v>4337852.3</v>
      </c>
      <c r="K241" s="34">
        <f t="shared" si="225"/>
        <v>3372729.15</v>
      </c>
      <c r="L241" s="34">
        <f t="shared" si="225"/>
        <v>19861.37</v>
      </c>
      <c r="M241" s="156">
        <f t="shared" si="195"/>
        <v>20.099678431263523</v>
      </c>
      <c r="N241" s="34">
        <f t="shared" si="225"/>
        <v>333000</v>
      </c>
      <c r="O241" s="34">
        <f t="shared" si="225"/>
        <v>333000</v>
      </c>
      <c r="P241" s="34">
        <f t="shared" si="225"/>
        <v>0</v>
      </c>
      <c r="Q241" s="34">
        <f t="shared" si="225"/>
        <v>0</v>
      </c>
      <c r="R241" s="34">
        <f t="shared" si="225"/>
        <v>0</v>
      </c>
      <c r="S241" s="34">
        <f t="shared" si="225"/>
        <v>333000</v>
      </c>
      <c r="T241" s="34">
        <f t="shared" si="225"/>
        <v>30240</v>
      </c>
      <c r="U241" s="34">
        <f t="shared" si="225"/>
        <v>0</v>
      </c>
      <c r="V241" s="34">
        <f t="shared" si="225"/>
        <v>0</v>
      </c>
      <c r="W241" s="34">
        <f t="shared" si="225"/>
        <v>0</v>
      </c>
      <c r="X241" s="34">
        <f t="shared" si="225"/>
        <v>0</v>
      </c>
      <c r="Y241" s="34">
        <f t="shared" si="225"/>
        <v>30240</v>
      </c>
      <c r="Z241" s="156">
        <f t="shared" si="192"/>
        <v>9.0810810810810807</v>
      </c>
      <c r="AA241" s="34">
        <f t="shared" si="225"/>
        <v>4368092.3</v>
      </c>
      <c r="AB241" s="34">
        <f t="shared" ref="AB241:AB243" si="226">E241+N241</f>
        <v>21914700</v>
      </c>
      <c r="AC241" s="206"/>
      <c r="AD241" s="45"/>
    </row>
    <row r="242" spans="1:30" s="1" customFormat="1" ht="46.5" customHeight="1" x14ac:dyDescent="0.25">
      <c r="A242" s="36" t="s">
        <v>358</v>
      </c>
      <c r="B242" s="42"/>
      <c r="C242" s="42"/>
      <c r="D242" s="38" t="s">
        <v>361</v>
      </c>
      <c r="E242" s="39">
        <f t="shared" ref="E242:AA242" si="227">E243</f>
        <v>21581700</v>
      </c>
      <c r="F242" s="39">
        <f t="shared" si="227"/>
        <v>21581700</v>
      </c>
      <c r="G242" s="39">
        <f t="shared" si="227"/>
        <v>16869800</v>
      </c>
      <c r="H242" s="39">
        <f t="shared" si="227"/>
        <v>167500</v>
      </c>
      <c r="I242" s="39">
        <f t="shared" si="227"/>
        <v>0</v>
      </c>
      <c r="J242" s="39">
        <f t="shared" si="227"/>
        <v>4337852.3</v>
      </c>
      <c r="K242" s="39">
        <f t="shared" si="227"/>
        <v>3372729.15</v>
      </c>
      <c r="L242" s="39">
        <f t="shared" si="227"/>
        <v>19861.37</v>
      </c>
      <c r="M242" s="157">
        <f t="shared" si="195"/>
        <v>20.099678431263523</v>
      </c>
      <c r="N242" s="39">
        <f t="shared" si="227"/>
        <v>333000</v>
      </c>
      <c r="O242" s="39">
        <f t="shared" si="227"/>
        <v>333000</v>
      </c>
      <c r="P242" s="39">
        <f t="shared" si="227"/>
        <v>0</v>
      </c>
      <c r="Q242" s="39">
        <f t="shared" si="227"/>
        <v>0</v>
      </c>
      <c r="R242" s="39">
        <f t="shared" si="227"/>
        <v>0</v>
      </c>
      <c r="S242" s="39">
        <f t="shared" si="227"/>
        <v>333000</v>
      </c>
      <c r="T242" s="39">
        <f t="shared" si="227"/>
        <v>30240</v>
      </c>
      <c r="U242" s="39">
        <f t="shared" si="227"/>
        <v>0</v>
      </c>
      <c r="V242" s="39">
        <f t="shared" si="227"/>
        <v>0</v>
      </c>
      <c r="W242" s="39">
        <f t="shared" si="227"/>
        <v>0</v>
      </c>
      <c r="X242" s="39">
        <f t="shared" si="227"/>
        <v>0</v>
      </c>
      <c r="Y242" s="39">
        <f t="shared" si="227"/>
        <v>30240</v>
      </c>
      <c r="Z242" s="157">
        <f t="shared" si="192"/>
        <v>9.0810810810810807</v>
      </c>
      <c r="AA242" s="39">
        <f t="shared" si="227"/>
        <v>4368092.3</v>
      </c>
      <c r="AB242" s="39">
        <f t="shared" si="226"/>
        <v>21914700</v>
      </c>
      <c r="AC242" s="206"/>
      <c r="AD242" s="45"/>
    </row>
    <row r="243" spans="1:30" s="18" customFormat="1" ht="63.75" customHeight="1" x14ac:dyDescent="0.25">
      <c r="A243" s="41" t="s">
        <v>359</v>
      </c>
      <c r="B243" s="42" t="str">
        <f>'дод 5'!A18</f>
        <v>0160</v>
      </c>
      <c r="C243" s="42" t="str">
        <f>'дод 5'!B18</f>
        <v>0111</v>
      </c>
      <c r="D243" s="46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43" s="44">
        <f t="shared" ref="E243" si="228">F243+I243</f>
        <v>21581700</v>
      </c>
      <c r="F243" s="44">
        <f>21483700+98000</f>
        <v>21581700</v>
      </c>
      <c r="G243" s="44">
        <v>16869800</v>
      </c>
      <c r="H243" s="44">
        <v>167500</v>
      </c>
      <c r="I243" s="44"/>
      <c r="J243" s="44">
        <v>4337852.3</v>
      </c>
      <c r="K243" s="44">
        <v>3372729.15</v>
      </c>
      <c r="L243" s="44">
        <v>19861.37</v>
      </c>
      <c r="M243" s="158">
        <f t="shared" si="195"/>
        <v>20.099678431263523</v>
      </c>
      <c r="N243" s="44">
        <f t="shared" ref="N243" si="229">P243+S243</f>
        <v>333000</v>
      </c>
      <c r="O243" s="44">
        <v>333000</v>
      </c>
      <c r="P243" s="44"/>
      <c r="Q243" s="44"/>
      <c r="R243" s="44"/>
      <c r="S243" s="44">
        <v>333000</v>
      </c>
      <c r="T243" s="44">
        <f t="shared" si="191"/>
        <v>30240</v>
      </c>
      <c r="U243" s="44"/>
      <c r="V243" s="44"/>
      <c r="W243" s="44"/>
      <c r="X243" s="44"/>
      <c r="Y243" s="44">
        <v>30240</v>
      </c>
      <c r="Z243" s="158">
        <f t="shared" si="192"/>
        <v>9.0810810810810807</v>
      </c>
      <c r="AA243" s="44">
        <f>T243+J243</f>
        <v>4368092.3</v>
      </c>
      <c r="AB243" s="44">
        <f t="shared" si="226"/>
        <v>21914700</v>
      </c>
      <c r="AC243" s="206"/>
      <c r="AD243" s="45"/>
    </row>
    <row r="244" spans="1:30" s="104" customFormat="1" ht="22.5" customHeight="1" x14ac:dyDescent="0.25">
      <c r="A244" s="32"/>
      <c r="B244" s="47"/>
      <c r="C244" s="122"/>
      <c r="D244" s="33" t="s">
        <v>514</v>
      </c>
      <c r="E244" s="34">
        <f t="shared" ref="E244:AB244" si="230">E18+E46+E104+E115+E149+E155+E164+E195+E212+E232+E223+E219+E215+E241</f>
        <v>3310274357</v>
      </c>
      <c r="F244" s="34">
        <f t="shared" ref="F244:AA244" si="231">F18+F46+F104+F115+F149+F155+F164+F195+F212+F232+F223+F219+F215+F241</f>
        <v>2704482860</v>
      </c>
      <c r="G244" s="34">
        <f t="shared" si="231"/>
        <v>1309227275</v>
      </c>
      <c r="H244" s="34">
        <f t="shared" si="231"/>
        <v>232706458</v>
      </c>
      <c r="I244" s="34">
        <f t="shared" si="231"/>
        <v>161102200</v>
      </c>
      <c r="J244" s="34">
        <f t="shared" si="231"/>
        <v>724035520.75999987</v>
      </c>
      <c r="K244" s="34">
        <f t="shared" si="231"/>
        <v>349270603.70999998</v>
      </c>
      <c r="L244" s="34">
        <f t="shared" si="231"/>
        <v>68405541.769999996</v>
      </c>
      <c r="M244" s="156">
        <f t="shared" si="195"/>
        <v>21.872371975118433</v>
      </c>
      <c r="N244" s="34">
        <f t="shared" si="231"/>
        <v>987711061.55999994</v>
      </c>
      <c r="O244" s="34">
        <f t="shared" si="231"/>
        <v>869722315.05999994</v>
      </c>
      <c r="P244" s="34">
        <f t="shared" si="231"/>
        <v>95328200</v>
      </c>
      <c r="Q244" s="34">
        <f t="shared" si="231"/>
        <v>13318380</v>
      </c>
      <c r="R244" s="34">
        <f t="shared" si="231"/>
        <v>7188778</v>
      </c>
      <c r="S244" s="34">
        <f t="shared" si="231"/>
        <v>892382861.55999994</v>
      </c>
      <c r="T244" s="34">
        <f t="shared" si="231"/>
        <v>74514247.620000005</v>
      </c>
      <c r="U244" s="34">
        <f t="shared" si="231"/>
        <v>25445926.719999999</v>
      </c>
      <c r="V244" s="34">
        <f t="shared" si="231"/>
        <v>42587751.120000005</v>
      </c>
      <c r="W244" s="34">
        <f t="shared" si="231"/>
        <v>4339692.8499999996</v>
      </c>
      <c r="X244" s="34">
        <f t="shared" si="231"/>
        <v>1127312.0999999999</v>
      </c>
      <c r="Y244" s="34">
        <f t="shared" si="231"/>
        <v>31926496.5</v>
      </c>
      <c r="Z244" s="156">
        <f t="shared" si="192"/>
        <v>7.544134162303652</v>
      </c>
      <c r="AA244" s="34">
        <f t="shared" si="231"/>
        <v>798549768.37999976</v>
      </c>
      <c r="AB244" s="34">
        <f t="shared" si="230"/>
        <v>4297985418.5599995</v>
      </c>
      <c r="AC244" s="206"/>
      <c r="AD244" s="35"/>
    </row>
    <row r="245" spans="1:30" s="20" customFormat="1" ht="26.45" customHeight="1" x14ac:dyDescent="0.25">
      <c r="A245" s="36"/>
      <c r="B245" s="48"/>
      <c r="C245" s="37"/>
      <c r="D245" s="38" t="s">
        <v>389</v>
      </c>
      <c r="E245" s="39">
        <f>E118+E48+E49+E50+E51+E52+E53+E55+E119+E197+E54+E166</f>
        <v>439407063.82999998</v>
      </c>
      <c r="F245" s="39">
        <f t="shared" ref="F245:AA245" si="232">F118+F48+F49+F50+F51+F52+F53+F55+F119+F197+F54+F166</f>
        <v>439407063.82999998</v>
      </c>
      <c r="G245" s="39">
        <f t="shared" si="232"/>
        <v>297223700</v>
      </c>
      <c r="H245" s="39">
        <f t="shared" si="232"/>
        <v>0</v>
      </c>
      <c r="I245" s="39">
        <f t="shared" si="232"/>
        <v>0</v>
      </c>
      <c r="J245" s="39">
        <f t="shared" si="232"/>
        <v>156413878.94</v>
      </c>
      <c r="K245" s="39">
        <f t="shared" si="232"/>
        <v>103799117.84999999</v>
      </c>
      <c r="L245" s="39">
        <f t="shared" si="232"/>
        <v>0</v>
      </c>
      <c r="M245" s="157">
        <f t="shared" si="195"/>
        <v>35.596578165278245</v>
      </c>
      <c r="N245" s="39">
        <f t="shared" si="232"/>
        <v>390429928.67000002</v>
      </c>
      <c r="O245" s="39">
        <f t="shared" si="232"/>
        <v>347028828.67000002</v>
      </c>
      <c r="P245" s="39">
        <f t="shared" si="232"/>
        <v>28319400</v>
      </c>
      <c r="Q245" s="39">
        <f t="shared" si="232"/>
        <v>0</v>
      </c>
      <c r="R245" s="39">
        <f t="shared" si="232"/>
        <v>0</v>
      </c>
      <c r="S245" s="39">
        <f t="shared" si="232"/>
        <v>362110528.67000002</v>
      </c>
      <c r="T245" s="39">
        <f t="shared" si="232"/>
        <v>8080850.1200000001</v>
      </c>
      <c r="U245" s="39">
        <f t="shared" si="232"/>
        <v>4618853.38</v>
      </c>
      <c r="V245" s="39">
        <f t="shared" si="232"/>
        <v>3461996.74</v>
      </c>
      <c r="W245" s="39">
        <f t="shared" si="232"/>
        <v>0</v>
      </c>
      <c r="X245" s="39">
        <f t="shared" si="232"/>
        <v>0</v>
      </c>
      <c r="Y245" s="39">
        <f t="shared" si="232"/>
        <v>4618853.38</v>
      </c>
      <c r="Z245" s="157">
        <f t="shared" si="192"/>
        <v>2.0697312184871239</v>
      </c>
      <c r="AA245" s="39">
        <f t="shared" si="232"/>
        <v>164494729.05999997</v>
      </c>
      <c r="AB245" s="39">
        <f t="shared" ref="AB245" si="233">AB118+AB48+AB49+AB50+AB51+AB52+AB53+AB55+AB119+AB197+AB54+AB166</f>
        <v>829836992.5</v>
      </c>
      <c r="AC245" s="206"/>
      <c r="AD245" s="40"/>
    </row>
    <row r="246" spans="1:30" s="20" customFormat="1" ht="88.35" customHeight="1" x14ac:dyDescent="0.25">
      <c r="A246" s="36"/>
      <c r="B246" s="48"/>
      <c r="C246" s="37"/>
      <c r="D246" s="38" t="s">
        <v>393</v>
      </c>
      <c r="E246" s="39">
        <f>E118</f>
        <v>71303000</v>
      </c>
      <c r="F246" s="39">
        <f t="shared" ref="F246:AA246" si="234">F118</f>
        <v>71303000</v>
      </c>
      <c r="G246" s="39">
        <f t="shared" si="234"/>
        <v>0</v>
      </c>
      <c r="H246" s="39">
        <f t="shared" si="234"/>
        <v>0</v>
      </c>
      <c r="I246" s="39">
        <f t="shared" si="234"/>
        <v>0</v>
      </c>
      <c r="J246" s="39">
        <f t="shared" si="234"/>
        <v>27212871.260000002</v>
      </c>
      <c r="K246" s="39">
        <f t="shared" si="234"/>
        <v>0</v>
      </c>
      <c r="L246" s="39">
        <f t="shared" si="234"/>
        <v>0</v>
      </c>
      <c r="M246" s="157">
        <f t="shared" si="195"/>
        <v>38.165114034472602</v>
      </c>
      <c r="N246" s="39">
        <f t="shared" si="234"/>
        <v>0</v>
      </c>
      <c r="O246" s="39">
        <f t="shared" si="234"/>
        <v>0</v>
      </c>
      <c r="P246" s="39">
        <f t="shared" si="234"/>
        <v>0</v>
      </c>
      <c r="Q246" s="39">
        <f t="shared" si="234"/>
        <v>0</v>
      </c>
      <c r="R246" s="39">
        <f t="shared" si="234"/>
        <v>0</v>
      </c>
      <c r="S246" s="39">
        <f t="shared" si="234"/>
        <v>0</v>
      </c>
      <c r="T246" s="39">
        <f t="shared" si="234"/>
        <v>0</v>
      </c>
      <c r="U246" s="39">
        <f t="shared" si="234"/>
        <v>0</v>
      </c>
      <c r="V246" s="39">
        <f t="shared" si="234"/>
        <v>0</v>
      </c>
      <c r="W246" s="39">
        <f t="shared" si="234"/>
        <v>0</v>
      </c>
      <c r="X246" s="39">
        <f t="shared" si="234"/>
        <v>0</v>
      </c>
      <c r="Y246" s="39">
        <f t="shared" si="234"/>
        <v>0</v>
      </c>
      <c r="Z246" s="157"/>
      <c r="AA246" s="39">
        <f t="shared" si="234"/>
        <v>27212871.260000002</v>
      </c>
      <c r="AB246" s="39">
        <f t="shared" ref="AB246" si="235">AB118</f>
        <v>71303000</v>
      </c>
      <c r="AC246" s="206"/>
      <c r="AD246" s="40"/>
    </row>
    <row r="247" spans="1:30" s="20" customFormat="1" ht="45.75" customHeight="1" x14ac:dyDescent="0.25">
      <c r="A247" s="36"/>
      <c r="B247" s="48"/>
      <c r="C247" s="37"/>
      <c r="D247" s="38" t="s">
        <v>362</v>
      </c>
      <c r="E247" s="39">
        <f t="shared" ref="E247:AB247" si="236">E56+E167+E120</f>
        <v>3966124</v>
      </c>
      <c r="F247" s="39">
        <f t="shared" ref="F247:AA247" si="237">F56+F167+F120</f>
        <v>3966124</v>
      </c>
      <c r="G247" s="39">
        <f t="shared" si="237"/>
        <v>1528675</v>
      </c>
      <c r="H247" s="39">
        <f t="shared" si="237"/>
        <v>0</v>
      </c>
      <c r="I247" s="39">
        <f t="shared" si="237"/>
        <v>0</v>
      </c>
      <c r="J247" s="39">
        <f t="shared" si="237"/>
        <v>1062809.79</v>
      </c>
      <c r="K247" s="39">
        <f t="shared" si="237"/>
        <v>426880.62</v>
      </c>
      <c r="L247" s="39">
        <f t="shared" si="237"/>
        <v>0</v>
      </c>
      <c r="M247" s="157">
        <f t="shared" si="195"/>
        <v>26.797190153409222</v>
      </c>
      <c r="N247" s="39">
        <f t="shared" si="237"/>
        <v>6564069.9000000004</v>
      </c>
      <c r="O247" s="39">
        <f t="shared" si="237"/>
        <v>0</v>
      </c>
      <c r="P247" s="39">
        <f t="shared" si="237"/>
        <v>0</v>
      </c>
      <c r="Q247" s="39">
        <f t="shared" si="237"/>
        <v>0</v>
      </c>
      <c r="R247" s="39">
        <f t="shared" si="237"/>
        <v>0</v>
      </c>
      <c r="S247" s="39">
        <f t="shared" si="237"/>
        <v>6564069.9000000004</v>
      </c>
      <c r="T247" s="39">
        <f t="shared" si="237"/>
        <v>0</v>
      </c>
      <c r="U247" s="39">
        <f t="shared" si="237"/>
        <v>0</v>
      </c>
      <c r="V247" s="39">
        <f t="shared" si="237"/>
        <v>0</v>
      </c>
      <c r="W247" s="39">
        <f t="shared" si="237"/>
        <v>0</v>
      </c>
      <c r="X247" s="39">
        <f t="shared" si="237"/>
        <v>0</v>
      </c>
      <c r="Y247" s="39">
        <f t="shared" si="237"/>
        <v>0</v>
      </c>
      <c r="Z247" s="157">
        <f t="shared" si="192"/>
        <v>0</v>
      </c>
      <c r="AA247" s="39">
        <f t="shared" si="237"/>
        <v>1062809.79</v>
      </c>
      <c r="AB247" s="39">
        <f t="shared" si="236"/>
        <v>10530193.9</v>
      </c>
      <c r="AC247" s="206"/>
      <c r="AD247" s="40"/>
    </row>
    <row r="248" spans="1:30" s="20" customFormat="1" ht="15.75" x14ac:dyDescent="0.25">
      <c r="A248" s="36"/>
      <c r="B248" s="48"/>
      <c r="C248" s="37"/>
      <c r="D248" s="38" t="s">
        <v>363</v>
      </c>
      <c r="E248" s="39">
        <f>E117+E57+E20</f>
        <v>1936957</v>
      </c>
      <c r="F248" s="39">
        <f t="shared" ref="F248:AA248" si="238">F117+F57+F20</f>
        <v>1936957</v>
      </c>
      <c r="G248" s="39">
        <f t="shared" si="238"/>
        <v>422100</v>
      </c>
      <c r="H248" s="39">
        <f t="shared" si="238"/>
        <v>0</v>
      </c>
      <c r="I248" s="39">
        <f t="shared" si="238"/>
        <v>0</v>
      </c>
      <c r="J248" s="39">
        <f t="shared" si="238"/>
        <v>345375.77</v>
      </c>
      <c r="K248" s="39">
        <f t="shared" si="238"/>
        <v>53400</v>
      </c>
      <c r="L248" s="39">
        <f t="shared" si="238"/>
        <v>0</v>
      </c>
      <c r="M248" s="157">
        <f t="shared" si="195"/>
        <v>17.830843431217112</v>
      </c>
      <c r="N248" s="39">
        <f t="shared" si="238"/>
        <v>4500000</v>
      </c>
      <c r="O248" s="39">
        <f t="shared" si="238"/>
        <v>4500000</v>
      </c>
      <c r="P248" s="39">
        <f t="shared" si="238"/>
        <v>0</v>
      </c>
      <c r="Q248" s="39">
        <f t="shared" si="238"/>
        <v>0</v>
      </c>
      <c r="R248" s="39">
        <f t="shared" si="238"/>
        <v>0</v>
      </c>
      <c r="S248" s="39">
        <f t="shared" si="238"/>
        <v>4500000</v>
      </c>
      <c r="T248" s="39">
        <f t="shared" si="238"/>
        <v>0</v>
      </c>
      <c r="U248" s="39">
        <f t="shared" si="238"/>
        <v>0</v>
      </c>
      <c r="V248" s="39">
        <f t="shared" si="238"/>
        <v>0</v>
      </c>
      <c r="W248" s="39">
        <f t="shared" si="238"/>
        <v>0</v>
      </c>
      <c r="X248" s="39">
        <f t="shared" si="238"/>
        <v>0</v>
      </c>
      <c r="Y248" s="39">
        <f t="shared" si="238"/>
        <v>0</v>
      </c>
      <c r="Z248" s="157">
        <f t="shared" si="192"/>
        <v>0</v>
      </c>
      <c r="AA248" s="39">
        <f t="shared" si="238"/>
        <v>345375.77</v>
      </c>
      <c r="AB248" s="39">
        <f t="shared" ref="AB248" si="239">AB117+AB57+AB20</f>
        <v>6436957</v>
      </c>
      <c r="AC248" s="206"/>
      <c r="AD248" s="40"/>
    </row>
    <row r="249" spans="1:30" s="20" customFormat="1" ht="20.25" customHeight="1" x14ac:dyDescent="0.25">
      <c r="A249" s="36"/>
      <c r="B249" s="48"/>
      <c r="C249" s="48"/>
      <c r="D249" s="38" t="s">
        <v>289</v>
      </c>
      <c r="E249" s="39">
        <f>E198+E199</f>
        <v>0</v>
      </c>
      <c r="F249" s="39">
        <f t="shared" ref="F249:AA249" si="240">F198+F199</f>
        <v>0</v>
      </c>
      <c r="G249" s="39">
        <f t="shared" si="240"/>
        <v>0</v>
      </c>
      <c r="H249" s="39">
        <f t="shared" si="240"/>
        <v>0</v>
      </c>
      <c r="I249" s="39">
        <f t="shared" si="240"/>
        <v>0</v>
      </c>
      <c r="J249" s="39">
        <f t="shared" si="240"/>
        <v>0</v>
      </c>
      <c r="K249" s="39">
        <f t="shared" si="240"/>
        <v>0</v>
      </c>
      <c r="L249" s="39">
        <f t="shared" si="240"/>
        <v>0</v>
      </c>
      <c r="M249" s="157"/>
      <c r="N249" s="39">
        <f t="shared" si="240"/>
        <v>252062997.38999999</v>
      </c>
      <c r="O249" s="39">
        <f t="shared" si="240"/>
        <v>252062997.38999999</v>
      </c>
      <c r="P249" s="39">
        <f t="shared" si="240"/>
        <v>0</v>
      </c>
      <c r="Q249" s="39">
        <f t="shared" si="240"/>
        <v>0</v>
      </c>
      <c r="R249" s="39">
        <f t="shared" si="240"/>
        <v>0</v>
      </c>
      <c r="S249" s="39">
        <f t="shared" si="240"/>
        <v>252062997.38999999</v>
      </c>
      <c r="T249" s="39">
        <f t="shared" si="240"/>
        <v>0</v>
      </c>
      <c r="U249" s="39">
        <f t="shared" si="240"/>
        <v>0</v>
      </c>
      <c r="V249" s="39">
        <f t="shared" si="240"/>
        <v>0</v>
      </c>
      <c r="W249" s="39">
        <f t="shared" si="240"/>
        <v>0</v>
      </c>
      <c r="X249" s="39">
        <f t="shared" si="240"/>
        <v>0</v>
      </c>
      <c r="Y249" s="39">
        <f t="shared" si="240"/>
        <v>0</v>
      </c>
      <c r="Z249" s="157">
        <f t="shared" si="192"/>
        <v>0</v>
      </c>
      <c r="AA249" s="39">
        <f t="shared" si="240"/>
        <v>0</v>
      </c>
      <c r="AB249" s="39">
        <f t="shared" ref="AB249" si="241">AB198+AB199</f>
        <v>252062997.38999999</v>
      </c>
      <c r="AC249" s="206"/>
      <c r="AD249" s="40"/>
    </row>
    <row r="250" spans="1:30" s="3" customFormat="1" ht="67.349999999999994" customHeight="1" x14ac:dyDescent="0.25">
      <c r="A250" s="59"/>
      <c r="B250" s="60"/>
      <c r="C250" s="60"/>
      <c r="D250" s="61"/>
      <c r="E250" s="62"/>
      <c r="F250" s="62"/>
      <c r="G250" s="62"/>
      <c r="H250" s="62"/>
      <c r="I250" s="62"/>
      <c r="J250" s="62"/>
      <c r="K250" s="62"/>
      <c r="L250" s="62"/>
      <c r="M250" s="160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160"/>
      <c r="AA250" s="62"/>
      <c r="AB250" s="62"/>
      <c r="AC250" s="206"/>
      <c r="AD250" s="40"/>
    </row>
    <row r="251" spans="1:30" s="3" customFormat="1" ht="40.5" customHeight="1" x14ac:dyDescent="0.25">
      <c r="A251" s="59"/>
      <c r="B251" s="60"/>
      <c r="C251" s="60"/>
      <c r="D251" s="61"/>
      <c r="E251" s="62"/>
      <c r="F251" s="62"/>
      <c r="G251" s="62"/>
      <c r="H251" s="62"/>
      <c r="I251" s="62"/>
      <c r="J251" s="62"/>
      <c r="K251" s="62"/>
      <c r="L251" s="62"/>
      <c r="M251" s="160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160"/>
      <c r="AA251" s="62"/>
      <c r="AB251" s="62"/>
      <c r="AC251" s="206"/>
      <c r="AD251" s="40"/>
    </row>
    <row r="252" spans="1:30" s="3" customFormat="1" ht="67.349999999999994" customHeight="1" x14ac:dyDescent="0.25">
      <c r="A252" s="211" t="s">
        <v>511</v>
      </c>
      <c r="B252" s="211"/>
      <c r="C252" s="211"/>
      <c r="D252" s="211"/>
      <c r="E252" s="211"/>
      <c r="F252" s="211"/>
      <c r="G252" s="139"/>
      <c r="H252" s="139"/>
      <c r="I252" s="139"/>
      <c r="J252" s="139"/>
      <c r="K252" s="139"/>
      <c r="L252" s="139"/>
      <c r="M252" s="140"/>
      <c r="N252" s="139"/>
      <c r="O252" s="139"/>
      <c r="P252" s="139"/>
      <c r="Q252" s="139"/>
      <c r="R252" s="139"/>
      <c r="S252" s="139"/>
      <c r="T252" s="141"/>
      <c r="U252" s="141"/>
      <c r="V252" s="141"/>
      <c r="W252" s="141"/>
      <c r="X252" s="212" t="s">
        <v>512</v>
      </c>
      <c r="Y252" s="212"/>
      <c r="Z252" s="212"/>
      <c r="AA252" s="212"/>
      <c r="AB252" s="62"/>
      <c r="AC252" s="206"/>
      <c r="AD252" s="40"/>
    </row>
    <row r="253" spans="1:30" s="3" customFormat="1" ht="67.349999999999994" customHeight="1" x14ac:dyDescent="0.25">
      <c r="A253" s="142"/>
      <c r="B253" s="142"/>
      <c r="C253" s="142"/>
      <c r="D253" s="142"/>
      <c r="E253" s="142"/>
      <c r="F253" s="142"/>
      <c r="G253" s="139"/>
      <c r="H253" s="139"/>
      <c r="I253" s="139"/>
      <c r="J253" s="139"/>
      <c r="K253" s="139"/>
      <c r="L253" s="139"/>
      <c r="M253" s="140"/>
      <c r="N253" s="139"/>
      <c r="O253" s="139"/>
      <c r="P253" s="139"/>
      <c r="Q253" s="139"/>
      <c r="R253" s="139"/>
      <c r="S253" s="139"/>
      <c r="T253" s="141"/>
      <c r="U253" s="141"/>
      <c r="V253" s="141"/>
      <c r="W253" s="141"/>
      <c r="X253" s="143"/>
      <c r="Y253" s="143"/>
      <c r="Z253" s="144"/>
      <c r="AA253" s="145"/>
      <c r="AB253" s="62"/>
      <c r="AC253" s="206"/>
      <c r="AD253" s="40"/>
    </row>
    <row r="254" spans="1:30" s="115" customFormat="1" ht="66.75" customHeight="1" x14ac:dyDescent="0.45">
      <c r="A254" s="146" t="s">
        <v>513</v>
      </c>
      <c r="B254" s="6"/>
      <c r="C254" s="6"/>
      <c r="D254" s="7"/>
      <c r="E254" s="139"/>
      <c r="F254" s="139"/>
      <c r="G254" s="139"/>
      <c r="H254" s="139"/>
      <c r="I254" s="139"/>
      <c r="J254" s="139"/>
      <c r="K254" s="139"/>
      <c r="L254" s="139"/>
      <c r="M254" s="140"/>
      <c r="N254" s="139"/>
      <c r="O254" s="147"/>
      <c r="P254" s="139"/>
      <c r="Q254" s="139"/>
      <c r="R254" s="139"/>
      <c r="S254" s="139"/>
      <c r="T254" s="141"/>
      <c r="U254" s="141"/>
      <c r="V254" s="141"/>
      <c r="W254" s="141"/>
      <c r="X254" s="141"/>
      <c r="Y254" s="141"/>
      <c r="Z254" s="148"/>
      <c r="AA254" s="149"/>
      <c r="AB254" s="138"/>
      <c r="AC254" s="206"/>
    </row>
    <row r="255" spans="1:30" s="4" customFormat="1" ht="16.5" customHeight="1" x14ac:dyDescent="0.45">
      <c r="A255" s="137"/>
      <c r="B255" s="137"/>
      <c r="C255" s="137"/>
      <c r="D255" s="137"/>
      <c r="E255" s="137"/>
      <c r="F255" s="25"/>
      <c r="G255" s="25"/>
      <c r="H255" s="25"/>
      <c r="I255" s="25"/>
      <c r="J255" s="25"/>
      <c r="K255" s="25"/>
      <c r="L255" s="25"/>
      <c r="M255" s="161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161"/>
      <c r="AA255" s="25"/>
      <c r="AB255" s="25"/>
      <c r="AC255" s="206"/>
      <c r="AD255" s="63"/>
    </row>
    <row r="256" spans="1:30" s="15" customFormat="1" ht="23.85" hidden="1" customHeight="1" x14ac:dyDescent="0.4">
      <c r="A256" s="64"/>
      <c r="B256" s="65"/>
      <c r="C256" s="65"/>
      <c r="D256" s="33"/>
      <c r="E256" s="66"/>
      <c r="F256" s="66"/>
      <c r="G256" s="66"/>
      <c r="H256" s="66"/>
      <c r="I256" s="66"/>
      <c r="J256" s="66"/>
      <c r="K256" s="66"/>
      <c r="L256" s="66"/>
      <c r="M256" s="162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162"/>
      <c r="AA256" s="66"/>
      <c r="AB256" s="66"/>
      <c r="AC256" s="206"/>
      <c r="AD256" s="67"/>
    </row>
    <row r="257" spans="1:30" ht="15.75" hidden="1" customHeight="1" x14ac:dyDescent="0.25">
      <c r="A257" s="21"/>
      <c r="B257" s="22"/>
      <c r="C257" s="22"/>
      <c r="D257" s="38"/>
      <c r="E257" s="68"/>
      <c r="F257" s="68"/>
      <c r="G257" s="68"/>
      <c r="H257" s="68"/>
      <c r="I257" s="68"/>
      <c r="J257" s="68"/>
      <c r="K257" s="68"/>
      <c r="L257" s="68"/>
      <c r="M257" s="163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163"/>
      <c r="AA257" s="68"/>
      <c r="AB257" s="68"/>
      <c r="AC257" s="206"/>
      <c r="AD257" s="26"/>
    </row>
    <row r="258" spans="1:30" ht="47.25" hidden="1" customHeight="1" x14ac:dyDescent="0.25">
      <c r="A258" s="21"/>
      <c r="B258" s="22"/>
      <c r="C258" s="22"/>
      <c r="D258" s="38"/>
      <c r="E258" s="68"/>
      <c r="F258" s="68"/>
      <c r="G258" s="68"/>
      <c r="H258" s="68"/>
      <c r="I258" s="68"/>
      <c r="J258" s="68"/>
      <c r="K258" s="68"/>
      <c r="L258" s="68"/>
      <c r="M258" s="163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163"/>
      <c r="AA258" s="68"/>
      <c r="AB258" s="68"/>
      <c r="AC258" s="206"/>
      <c r="AD258" s="26"/>
    </row>
    <row r="259" spans="1:30" ht="15.75" hidden="1" customHeight="1" x14ac:dyDescent="0.25">
      <c r="A259" s="21"/>
      <c r="B259" s="22"/>
      <c r="C259" s="22"/>
      <c r="D259" s="38"/>
      <c r="E259" s="68"/>
      <c r="F259" s="68"/>
      <c r="G259" s="68"/>
      <c r="H259" s="68"/>
      <c r="I259" s="68"/>
      <c r="J259" s="68"/>
      <c r="K259" s="68"/>
      <c r="L259" s="68"/>
      <c r="M259" s="163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163"/>
      <c r="AA259" s="68"/>
      <c r="AB259" s="68"/>
      <c r="AC259" s="206"/>
      <c r="AD259" s="26"/>
    </row>
    <row r="260" spans="1:30" ht="15.75" hidden="1" customHeight="1" x14ac:dyDescent="0.25">
      <c r="A260" s="21"/>
      <c r="B260" s="22"/>
      <c r="C260" s="22"/>
      <c r="D260" s="38"/>
      <c r="E260" s="68"/>
      <c r="F260" s="68"/>
      <c r="G260" s="68"/>
      <c r="H260" s="68"/>
      <c r="I260" s="68"/>
      <c r="J260" s="68"/>
      <c r="K260" s="68"/>
      <c r="L260" s="68"/>
      <c r="M260" s="163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163"/>
      <c r="AA260" s="68"/>
      <c r="AB260" s="68"/>
      <c r="AC260" s="206"/>
      <c r="AD260" s="26"/>
    </row>
    <row r="261" spans="1:30" ht="15" hidden="1" customHeight="1" x14ac:dyDescent="0.25">
      <c r="A261" s="21"/>
      <c r="B261" s="22"/>
      <c r="C261" s="22"/>
      <c r="D261" s="23"/>
      <c r="E261" s="24"/>
      <c r="F261" s="24"/>
      <c r="G261" s="24"/>
      <c r="H261" s="24"/>
      <c r="I261" s="24"/>
      <c r="J261" s="24"/>
      <c r="K261" s="24"/>
      <c r="L261" s="24"/>
      <c r="M261" s="16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164"/>
      <c r="AA261" s="24"/>
      <c r="AB261" s="24"/>
      <c r="AC261" s="206"/>
      <c r="AD261" s="26"/>
    </row>
    <row r="262" spans="1:30" ht="15" hidden="1" customHeight="1" x14ac:dyDescent="0.25">
      <c r="A262" s="21"/>
      <c r="B262" s="22"/>
      <c r="C262" s="22"/>
      <c r="D262" s="23"/>
      <c r="E262" s="24"/>
      <c r="F262" s="24"/>
      <c r="G262" s="24"/>
      <c r="H262" s="24"/>
      <c r="I262" s="24"/>
      <c r="J262" s="24"/>
      <c r="K262" s="24"/>
      <c r="L262" s="24"/>
      <c r="M262" s="16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164"/>
      <c r="AA262" s="24"/>
      <c r="AB262" s="24"/>
      <c r="AC262" s="206"/>
      <c r="AD262" s="26"/>
    </row>
    <row r="263" spans="1:30" ht="15" hidden="1" customHeight="1" x14ac:dyDescent="0.25">
      <c r="A263" s="21"/>
      <c r="B263" s="22"/>
      <c r="C263" s="22"/>
      <c r="D263" s="23"/>
      <c r="E263" s="24"/>
      <c r="F263" s="24"/>
      <c r="G263" s="24"/>
      <c r="H263" s="24"/>
      <c r="I263" s="24"/>
      <c r="J263" s="24"/>
      <c r="K263" s="24"/>
      <c r="L263" s="24"/>
      <c r="M263" s="16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164"/>
      <c r="AA263" s="24"/>
      <c r="AB263" s="24"/>
      <c r="AC263" s="206"/>
      <c r="AD263" s="26"/>
    </row>
    <row r="264" spans="1:30" ht="15" hidden="1" customHeight="1" x14ac:dyDescent="0.25">
      <c r="A264" s="21"/>
      <c r="B264" s="22"/>
      <c r="C264" s="22"/>
      <c r="D264" s="23"/>
      <c r="E264" s="24"/>
      <c r="F264" s="24"/>
      <c r="G264" s="24"/>
      <c r="H264" s="24"/>
      <c r="I264" s="24"/>
      <c r="J264" s="24"/>
      <c r="K264" s="24"/>
      <c r="L264" s="24"/>
      <c r="M264" s="16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164"/>
      <c r="AA264" s="24"/>
      <c r="AB264" s="24"/>
      <c r="AC264" s="206"/>
      <c r="AD264" s="26"/>
    </row>
    <row r="265" spans="1:30" ht="15" hidden="1" customHeight="1" x14ac:dyDescent="0.25">
      <c r="A265" s="21"/>
      <c r="B265" s="22"/>
      <c r="C265" s="22"/>
      <c r="D265" s="23"/>
      <c r="E265" s="24"/>
      <c r="F265" s="24"/>
      <c r="G265" s="24"/>
      <c r="H265" s="24"/>
      <c r="I265" s="24"/>
      <c r="J265" s="24"/>
      <c r="K265" s="24"/>
      <c r="L265" s="24"/>
      <c r="M265" s="16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164"/>
      <c r="AA265" s="24"/>
      <c r="AB265" s="24"/>
      <c r="AC265" s="206"/>
      <c r="AD265" s="26"/>
    </row>
    <row r="266" spans="1:30" x14ac:dyDescent="0.25">
      <c r="A266" s="21"/>
      <c r="B266" s="22"/>
      <c r="C266" s="22"/>
      <c r="D266" s="23"/>
      <c r="E266" s="24"/>
      <c r="F266" s="24"/>
      <c r="G266" s="24"/>
      <c r="H266" s="24"/>
      <c r="I266" s="24"/>
      <c r="J266" s="24"/>
      <c r="K266" s="24"/>
      <c r="L266" s="24"/>
      <c r="M266" s="16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164"/>
      <c r="AA266" s="24"/>
      <c r="AB266" s="24"/>
      <c r="AC266" s="206"/>
      <c r="AD266" s="26"/>
    </row>
    <row r="267" spans="1:30" ht="15.75" hidden="1" x14ac:dyDescent="0.25">
      <c r="A267" s="21"/>
      <c r="B267" s="22"/>
      <c r="C267" s="22"/>
      <c r="D267" s="33" t="s">
        <v>285</v>
      </c>
      <c r="E267" s="68">
        <f>E244-'дод 5'!D198</f>
        <v>0</v>
      </c>
      <c r="F267" s="68">
        <f>F244-'дод 5'!E198</f>
        <v>0</v>
      </c>
      <c r="G267" s="68">
        <f>G244-'дод 5'!F198</f>
        <v>0</v>
      </c>
      <c r="H267" s="68">
        <f>H244-'дод 5'!G198</f>
        <v>0</v>
      </c>
      <c r="I267" s="68">
        <f>I244-'дод 5'!H198</f>
        <v>0</v>
      </c>
      <c r="J267" s="68">
        <f>J244-'дод 5'!I198</f>
        <v>0</v>
      </c>
      <c r="K267" s="68">
        <f>K244-'дод 5'!J198</f>
        <v>0</v>
      </c>
      <c r="L267" s="68">
        <f>L244-'дод 5'!K198</f>
        <v>0</v>
      </c>
      <c r="M267" s="163">
        <f>M244-'дод 5'!L198</f>
        <v>0</v>
      </c>
      <c r="N267" s="68">
        <f>N244-'дод 5'!M198</f>
        <v>0</v>
      </c>
      <c r="O267" s="68">
        <f>O244-'дод 5'!N198</f>
        <v>0</v>
      </c>
      <c r="P267" s="68">
        <f>P244-'дод 5'!O198</f>
        <v>0</v>
      </c>
      <c r="Q267" s="68">
        <f>Q244-'дод 5'!P198</f>
        <v>0</v>
      </c>
      <c r="R267" s="68">
        <f>R244-'дод 5'!Q198</f>
        <v>0</v>
      </c>
      <c r="S267" s="68">
        <f>S244-'дод 5'!R198</f>
        <v>0</v>
      </c>
      <c r="T267" s="68">
        <f>T244-'дод 5'!S198</f>
        <v>0</v>
      </c>
      <c r="U267" s="68">
        <f>U244-'дод 5'!T198</f>
        <v>0</v>
      </c>
      <c r="V267" s="68">
        <f>V244-'дод 5'!U198</f>
        <v>0</v>
      </c>
      <c r="W267" s="68">
        <f>W244-'дод 5'!V198</f>
        <v>0</v>
      </c>
      <c r="X267" s="68">
        <f>X244-'дод 5'!W198</f>
        <v>0</v>
      </c>
      <c r="Y267" s="68">
        <f>Y244-'дод 5'!X198</f>
        <v>0</v>
      </c>
      <c r="Z267" s="163">
        <f>Z244-'дод 5'!Y198</f>
        <v>0</v>
      </c>
      <c r="AA267" s="68">
        <f>AA244-'дод 5'!Z198</f>
        <v>0</v>
      </c>
      <c r="AB267" s="68">
        <f>AB244-'дод 5'!AA198</f>
        <v>0</v>
      </c>
      <c r="AC267" s="69"/>
      <c r="AD267" s="26"/>
    </row>
    <row r="268" spans="1:30" ht="15.75" hidden="1" x14ac:dyDescent="0.25">
      <c r="A268" s="21"/>
      <c r="B268" s="22"/>
      <c r="C268" s="22"/>
      <c r="D268" s="38" t="s">
        <v>389</v>
      </c>
      <c r="E268" s="68">
        <f>E245-'дод 5'!D199</f>
        <v>0</v>
      </c>
      <c r="F268" s="68">
        <f>F245-'дод 5'!E199</f>
        <v>0</v>
      </c>
      <c r="G268" s="68">
        <f>G245-'дод 5'!F199</f>
        <v>0</v>
      </c>
      <c r="H268" s="68">
        <f>H245-'дод 5'!G199</f>
        <v>0</v>
      </c>
      <c r="I268" s="68">
        <f>I245-'дод 5'!H199</f>
        <v>0</v>
      </c>
      <c r="J268" s="68">
        <f>J245-'дод 5'!I199</f>
        <v>0</v>
      </c>
      <c r="K268" s="68">
        <f>K245-'дод 5'!J199</f>
        <v>0</v>
      </c>
      <c r="L268" s="68">
        <f>L245-'дод 5'!K199</f>
        <v>0</v>
      </c>
      <c r="M268" s="163">
        <f>M245-'дод 5'!L199</f>
        <v>0</v>
      </c>
      <c r="N268" s="68">
        <f>N245-'дод 5'!M199</f>
        <v>0</v>
      </c>
      <c r="O268" s="68">
        <f>O245-'дод 5'!N199</f>
        <v>0</v>
      </c>
      <c r="P268" s="68">
        <f>P245-'дод 5'!O199</f>
        <v>0</v>
      </c>
      <c r="Q268" s="68">
        <f>Q245-'дод 5'!P199</f>
        <v>0</v>
      </c>
      <c r="R268" s="68">
        <f>R245-'дод 5'!Q199</f>
        <v>0</v>
      </c>
      <c r="S268" s="68">
        <f>S245-'дод 5'!R199</f>
        <v>0</v>
      </c>
      <c r="T268" s="68">
        <f>T245-'дод 5'!S199</f>
        <v>0</v>
      </c>
      <c r="U268" s="68">
        <f>U245-'дод 5'!T199</f>
        <v>0</v>
      </c>
      <c r="V268" s="68">
        <f>V245-'дод 5'!U199</f>
        <v>0</v>
      </c>
      <c r="W268" s="68">
        <f>W245-'дод 5'!V199</f>
        <v>0</v>
      </c>
      <c r="X268" s="68">
        <f>X245-'дод 5'!W199</f>
        <v>0</v>
      </c>
      <c r="Y268" s="68">
        <f>Y245-'дод 5'!X199</f>
        <v>0</v>
      </c>
      <c r="Z268" s="163">
        <f>Z245-'дод 5'!Y199</f>
        <v>0</v>
      </c>
      <c r="AA268" s="68">
        <f>AA245-'дод 5'!Z199</f>
        <v>0</v>
      </c>
      <c r="AB268" s="68">
        <f>AB245-'дод 5'!AA199</f>
        <v>0</v>
      </c>
      <c r="AC268" s="69"/>
      <c r="AD268" s="26"/>
    </row>
    <row r="269" spans="1:30" ht="94.5" hidden="1" x14ac:dyDescent="0.25">
      <c r="A269" s="21"/>
      <c r="B269" s="22"/>
      <c r="C269" s="22"/>
      <c r="D269" s="38" t="s">
        <v>393</v>
      </c>
      <c r="E269" s="68">
        <f>E246-'дод 5'!D200</f>
        <v>0</v>
      </c>
      <c r="F269" s="68">
        <f>F246-'дод 5'!E200</f>
        <v>0</v>
      </c>
      <c r="G269" s="68">
        <f>G246-'дод 5'!F200</f>
        <v>0</v>
      </c>
      <c r="H269" s="68">
        <f>H246-'дод 5'!G200</f>
        <v>0</v>
      </c>
      <c r="I269" s="68">
        <f>I246-'дод 5'!H200</f>
        <v>0</v>
      </c>
      <c r="J269" s="68">
        <f>J246-'дод 5'!I200</f>
        <v>0</v>
      </c>
      <c r="K269" s="68">
        <f>K246-'дод 5'!J200</f>
        <v>0</v>
      </c>
      <c r="L269" s="68">
        <f>L246-'дод 5'!K200</f>
        <v>0</v>
      </c>
      <c r="M269" s="163">
        <f>M246-'дод 5'!L200</f>
        <v>0</v>
      </c>
      <c r="N269" s="68">
        <f>N246-'дод 5'!M200</f>
        <v>0</v>
      </c>
      <c r="O269" s="68">
        <f>O246-'дод 5'!N200</f>
        <v>0</v>
      </c>
      <c r="P269" s="68">
        <f>P246-'дод 5'!O200</f>
        <v>0</v>
      </c>
      <c r="Q269" s="68">
        <f>Q246-'дод 5'!P200</f>
        <v>0</v>
      </c>
      <c r="R269" s="68">
        <f>R246-'дод 5'!Q200</f>
        <v>0</v>
      </c>
      <c r="S269" s="68">
        <f>S246-'дод 5'!R200</f>
        <v>0</v>
      </c>
      <c r="T269" s="68">
        <f>T246-'дод 5'!S200</f>
        <v>0</v>
      </c>
      <c r="U269" s="68">
        <f>U246-'дод 5'!T200</f>
        <v>0</v>
      </c>
      <c r="V269" s="68">
        <f>V246-'дод 5'!U200</f>
        <v>0</v>
      </c>
      <c r="W269" s="68">
        <f>W246-'дод 5'!V200</f>
        <v>0</v>
      </c>
      <c r="X269" s="68">
        <f>X246-'дод 5'!W200</f>
        <v>0</v>
      </c>
      <c r="Y269" s="68">
        <f>Y246-'дод 5'!X200</f>
        <v>0</v>
      </c>
      <c r="Z269" s="163">
        <f>Z246-'дод 5'!Y200</f>
        <v>0</v>
      </c>
      <c r="AA269" s="68">
        <f>AA246-'дод 5'!Z200</f>
        <v>0</v>
      </c>
      <c r="AB269" s="68">
        <f>AB246-'дод 5'!AA200</f>
        <v>0</v>
      </c>
      <c r="AC269" s="69"/>
      <c r="AD269" s="26"/>
    </row>
    <row r="270" spans="1:30" ht="47.25" hidden="1" x14ac:dyDescent="0.25">
      <c r="A270" s="21"/>
      <c r="B270" s="22"/>
      <c r="C270" s="22"/>
      <c r="D270" s="38" t="s">
        <v>362</v>
      </c>
      <c r="E270" s="68">
        <f>E247-'дод 5'!D201</f>
        <v>0</v>
      </c>
      <c r="F270" s="68">
        <f>F247-'дод 5'!E201</f>
        <v>0</v>
      </c>
      <c r="G270" s="68">
        <f>G247-'дод 5'!F201</f>
        <v>0</v>
      </c>
      <c r="H270" s="68">
        <f>H247-'дод 5'!G201</f>
        <v>0</v>
      </c>
      <c r="I270" s="68">
        <f>I247-'дод 5'!H201</f>
        <v>0</v>
      </c>
      <c r="J270" s="68">
        <f>J247-'дод 5'!I201</f>
        <v>0</v>
      </c>
      <c r="K270" s="68">
        <f>K247-'дод 5'!J201</f>
        <v>0</v>
      </c>
      <c r="L270" s="68">
        <f>L247-'дод 5'!K201</f>
        <v>0</v>
      </c>
      <c r="M270" s="163">
        <f>M247-'дод 5'!L201</f>
        <v>0</v>
      </c>
      <c r="N270" s="68">
        <f>N247-'дод 5'!M201</f>
        <v>0</v>
      </c>
      <c r="O270" s="68">
        <f>O247-'дод 5'!N201</f>
        <v>0</v>
      </c>
      <c r="P270" s="68">
        <f>P247-'дод 5'!O201</f>
        <v>0</v>
      </c>
      <c r="Q270" s="68">
        <f>Q247-'дод 5'!P201</f>
        <v>0</v>
      </c>
      <c r="R270" s="68">
        <f>R247-'дод 5'!Q201</f>
        <v>0</v>
      </c>
      <c r="S270" s="68">
        <f>S247-'дод 5'!R201</f>
        <v>0</v>
      </c>
      <c r="T270" s="68">
        <f>T247-'дод 5'!S201</f>
        <v>0</v>
      </c>
      <c r="U270" s="68">
        <f>U247-'дод 5'!T201</f>
        <v>0</v>
      </c>
      <c r="V270" s="68">
        <f>V247-'дод 5'!U201</f>
        <v>0</v>
      </c>
      <c r="W270" s="68">
        <f>W247-'дод 5'!V201</f>
        <v>0</v>
      </c>
      <c r="X270" s="68">
        <f>X247-'дод 5'!W201</f>
        <v>0</v>
      </c>
      <c r="Y270" s="68">
        <f>Y247-'дод 5'!X201</f>
        <v>0</v>
      </c>
      <c r="Z270" s="163">
        <f>Z247-'дод 5'!Y201</f>
        <v>0</v>
      </c>
      <c r="AA270" s="68">
        <f>AA247-'дод 5'!Z201</f>
        <v>0</v>
      </c>
      <c r="AB270" s="68">
        <f>AB247-'дод 5'!AA201</f>
        <v>0</v>
      </c>
      <c r="AC270" s="69"/>
      <c r="AD270" s="26"/>
    </row>
    <row r="271" spans="1:30" ht="15.75" hidden="1" x14ac:dyDescent="0.25">
      <c r="A271" s="21"/>
      <c r="B271" s="22"/>
      <c r="C271" s="22"/>
      <c r="D271" s="38" t="s">
        <v>363</v>
      </c>
      <c r="E271" s="68">
        <f>E248-'дод 5'!D202</f>
        <v>0</v>
      </c>
      <c r="F271" s="68">
        <f>F248-'дод 5'!E202</f>
        <v>0</v>
      </c>
      <c r="G271" s="68">
        <f>G248-'дод 5'!F202</f>
        <v>0</v>
      </c>
      <c r="H271" s="68">
        <f>H248-'дод 5'!G202</f>
        <v>0</v>
      </c>
      <c r="I271" s="68">
        <f>I248-'дод 5'!H202</f>
        <v>0</v>
      </c>
      <c r="J271" s="68">
        <f>J248-'дод 5'!I202</f>
        <v>0</v>
      </c>
      <c r="K271" s="68">
        <f>K248-'дод 5'!J202</f>
        <v>0</v>
      </c>
      <c r="L271" s="68">
        <f>L248-'дод 5'!K202</f>
        <v>0</v>
      </c>
      <c r="M271" s="163">
        <f>M248-'дод 5'!L202</f>
        <v>0</v>
      </c>
      <c r="N271" s="68">
        <f>N248-'дод 5'!M202</f>
        <v>0</v>
      </c>
      <c r="O271" s="68">
        <f>O248-'дод 5'!N202</f>
        <v>0</v>
      </c>
      <c r="P271" s="68">
        <f>P248-'дод 5'!O202</f>
        <v>0</v>
      </c>
      <c r="Q271" s="68">
        <f>Q248-'дод 5'!P202</f>
        <v>0</v>
      </c>
      <c r="R271" s="68">
        <f>R248-'дод 5'!Q202</f>
        <v>0</v>
      </c>
      <c r="S271" s="68">
        <f>S248-'дод 5'!R202</f>
        <v>0</v>
      </c>
      <c r="T271" s="68">
        <f>T248-'дод 5'!S202</f>
        <v>0</v>
      </c>
      <c r="U271" s="68">
        <f>U248-'дод 5'!T202</f>
        <v>0</v>
      </c>
      <c r="V271" s="68">
        <f>V248-'дод 5'!U202</f>
        <v>0</v>
      </c>
      <c r="W271" s="68">
        <f>W248-'дод 5'!V202</f>
        <v>0</v>
      </c>
      <c r="X271" s="68">
        <f>X248-'дод 5'!W202</f>
        <v>0</v>
      </c>
      <c r="Y271" s="68">
        <f>Y248-'дод 5'!X202</f>
        <v>0</v>
      </c>
      <c r="Z271" s="163">
        <f>Z248-'дод 5'!Y202</f>
        <v>0</v>
      </c>
      <c r="AA271" s="68">
        <f>AA248-'дод 5'!Z202</f>
        <v>0</v>
      </c>
      <c r="AB271" s="68">
        <f>AB248-'дод 5'!AA202</f>
        <v>0</v>
      </c>
      <c r="AC271" s="69"/>
      <c r="AD271" s="26"/>
    </row>
    <row r="272" spans="1:30" ht="15.75" hidden="1" x14ac:dyDescent="0.25">
      <c r="A272" s="21"/>
      <c r="B272" s="22"/>
      <c r="C272" s="22"/>
      <c r="D272" s="38" t="s">
        <v>289</v>
      </c>
      <c r="E272" s="68">
        <f>E249-'дод 5'!D203</f>
        <v>0</v>
      </c>
      <c r="F272" s="68">
        <f>F249-'дод 5'!E203</f>
        <v>0</v>
      </c>
      <c r="G272" s="68">
        <f>G249-'дод 5'!F203</f>
        <v>0</v>
      </c>
      <c r="H272" s="68">
        <f>H249-'дод 5'!G203</f>
        <v>0</v>
      </c>
      <c r="I272" s="68">
        <f>I249-'дод 5'!H203</f>
        <v>0</v>
      </c>
      <c r="J272" s="68">
        <f>J249-'дод 5'!I203</f>
        <v>0</v>
      </c>
      <c r="K272" s="68">
        <f>K249-'дод 5'!J203</f>
        <v>0</v>
      </c>
      <c r="L272" s="68">
        <f>L249-'дод 5'!K203</f>
        <v>0</v>
      </c>
      <c r="M272" s="163">
        <f>M249-'дод 5'!L203</f>
        <v>0</v>
      </c>
      <c r="N272" s="68">
        <f>N249-'дод 5'!M203</f>
        <v>0</v>
      </c>
      <c r="O272" s="68">
        <f>O249-'дод 5'!N203</f>
        <v>0</v>
      </c>
      <c r="P272" s="68">
        <f>P249-'дод 5'!O203</f>
        <v>0</v>
      </c>
      <c r="Q272" s="68">
        <f>Q249-'дод 5'!P203</f>
        <v>0</v>
      </c>
      <c r="R272" s="68">
        <f>R249-'дод 5'!Q203</f>
        <v>0</v>
      </c>
      <c r="S272" s="68">
        <f>S249-'дод 5'!R203</f>
        <v>0</v>
      </c>
      <c r="T272" s="68">
        <f>T249-'дод 5'!S203</f>
        <v>0</v>
      </c>
      <c r="U272" s="68">
        <f>U249-'дод 5'!T203</f>
        <v>0</v>
      </c>
      <c r="V272" s="68">
        <f>V249-'дод 5'!U203</f>
        <v>0</v>
      </c>
      <c r="W272" s="68">
        <f>W249-'дод 5'!V203</f>
        <v>0</v>
      </c>
      <c r="X272" s="68">
        <f>X249-'дод 5'!W203</f>
        <v>0</v>
      </c>
      <c r="Y272" s="68">
        <f>Y249-'дод 5'!X203</f>
        <v>0</v>
      </c>
      <c r="Z272" s="163">
        <f>Z249-'дод 5'!Y203</f>
        <v>0</v>
      </c>
      <c r="AA272" s="68">
        <f>AA249-'дод 5'!Z203</f>
        <v>0</v>
      </c>
      <c r="AB272" s="68">
        <f>AB249-'дод 5'!AA203</f>
        <v>0</v>
      </c>
      <c r="AC272" s="69"/>
      <c r="AD272" s="26"/>
    </row>
    <row r="273" spans="28:28" x14ac:dyDescent="0.25">
      <c r="AB273" s="8"/>
    </row>
    <row r="274" spans="28:28" x14ac:dyDescent="0.25">
      <c r="AB274" s="8"/>
    </row>
    <row r="275" spans="28:28" x14ac:dyDescent="0.25">
      <c r="AB275" s="8"/>
    </row>
    <row r="276" spans="28:28" x14ac:dyDescent="0.25">
      <c r="AB276" s="8"/>
    </row>
    <row r="277" spans="28:28" x14ac:dyDescent="0.25">
      <c r="AB277" s="8"/>
    </row>
    <row r="278" spans="28:28" x14ac:dyDescent="0.25">
      <c r="AB278" s="8"/>
    </row>
    <row r="279" spans="28:28" x14ac:dyDescent="0.25">
      <c r="AB279" s="8"/>
    </row>
    <row r="280" spans="28:28" x14ac:dyDescent="0.25">
      <c r="AB280" s="8"/>
    </row>
    <row r="281" spans="28:28" x14ac:dyDescent="0.25">
      <c r="AB281" s="8"/>
    </row>
    <row r="282" spans="28:28" x14ac:dyDescent="0.25">
      <c r="AB282" s="8"/>
    </row>
    <row r="283" spans="28:28" x14ac:dyDescent="0.25">
      <c r="AB283" s="8"/>
    </row>
    <row r="284" spans="28:28" x14ac:dyDescent="0.25">
      <c r="AB284" s="8"/>
    </row>
    <row r="285" spans="28:28" x14ac:dyDescent="0.25">
      <c r="AB285" s="8"/>
    </row>
    <row r="286" spans="28:28" x14ac:dyDescent="0.25">
      <c r="AB286" s="8"/>
    </row>
    <row r="287" spans="28:28" x14ac:dyDescent="0.25">
      <c r="AB287" s="8"/>
    </row>
    <row r="288" spans="28:28" x14ac:dyDescent="0.25">
      <c r="AB288" s="8"/>
    </row>
    <row r="289" spans="28:28" x14ac:dyDescent="0.25">
      <c r="AB289" s="8"/>
    </row>
    <row r="290" spans="28:28" x14ac:dyDescent="0.25">
      <c r="AB290" s="8"/>
    </row>
    <row r="291" spans="28:28" x14ac:dyDescent="0.25">
      <c r="AB291" s="8"/>
    </row>
    <row r="292" spans="28:28" x14ac:dyDescent="0.25">
      <c r="AB292" s="8"/>
    </row>
    <row r="293" spans="28:28" x14ac:dyDescent="0.25">
      <c r="AB293" s="8"/>
    </row>
    <row r="294" spans="28:28" x14ac:dyDescent="0.25">
      <c r="AB294" s="8"/>
    </row>
    <row r="295" spans="28:28" x14ac:dyDescent="0.25">
      <c r="AB295" s="8"/>
    </row>
    <row r="296" spans="28:28" x14ac:dyDescent="0.25">
      <c r="AB296" s="8"/>
    </row>
    <row r="297" spans="28:28" x14ac:dyDescent="0.25">
      <c r="AB297" s="8"/>
    </row>
    <row r="298" spans="28:28" x14ac:dyDescent="0.25">
      <c r="AB298" s="8"/>
    </row>
    <row r="299" spans="28:28" x14ac:dyDescent="0.25">
      <c r="AB299" s="8"/>
    </row>
    <row r="300" spans="28:28" x14ac:dyDescent="0.25">
      <c r="AB300" s="8"/>
    </row>
    <row r="301" spans="28:28" x14ac:dyDescent="0.25">
      <c r="AB301" s="8"/>
    </row>
    <row r="302" spans="28:28" x14ac:dyDescent="0.25">
      <c r="AB302" s="8"/>
    </row>
    <row r="303" spans="28:28" x14ac:dyDescent="0.25">
      <c r="AB303" s="8"/>
    </row>
    <row r="304" spans="28:28" x14ac:dyDescent="0.25">
      <c r="AB304" s="8"/>
    </row>
    <row r="305" spans="28:28" x14ac:dyDescent="0.25">
      <c r="AB305" s="8"/>
    </row>
    <row r="306" spans="28:28" x14ac:dyDescent="0.25">
      <c r="AB306" s="8"/>
    </row>
    <row r="307" spans="28:28" x14ac:dyDescent="0.25">
      <c r="AB307" s="8"/>
    </row>
    <row r="308" spans="28:28" x14ac:dyDescent="0.25">
      <c r="AB308" s="8"/>
    </row>
    <row r="309" spans="28:28" x14ac:dyDescent="0.25">
      <c r="AB309" s="8"/>
    </row>
    <row r="310" spans="28:28" x14ac:dyDescent="0.25">
      <c r="AB310" s="8"/>
    </row>
    <row r="311" spans="28:28" x14ac:dyDescent="0.25">
      <c r="AB311" s="8"/>
    </row>
    <row r="312" spans="28:28" x14ac:dyDescent="0.25">
      <c r="AB312" s="8"/>
    </row>
    <row r="313" spans="28:28" x14ac:dyDescent="0.25">
      <c r="AB313" s="8"/>
    </row>
    <row r="314" spans="28:28" x14ac:dyDescent="0.25">
      <c r="AB314" s="8"/>
    </row>
    <row r="315" spans="28:28" x14ac:dyDescent="0.25">
      <c r="AB315" s="8"/>
    </row>
    <row r="316" spans="28:28" x14ac:dyDescent="0.25">
      <c r="AB316" s="8"/>
    </row>
    <row r="317" spans="28:28" x14ac:dyDescent="0.25">
      <c r="AB317" s="8"/>
    </row>
    <row r="318" spans="28:28" x14ac:dyDescent="0.25">
      <c r="AB318" s="8"/>
    </row>
    <row r="319" spans="28:28" x14ac:dyDescent="0.25">
      <c r="AB319" s="8"/>
    </row>
    <row r="320" spans="28:28" x14ac:dyDescent="0.25">
      <c r="AB320" s="8"/>
    </row>
    <row r="321" spans="28:28" x14ac:dyDescent="0.25">
      <c r="AB321" s="8"/>
    </row>
    <row r="322" spans="28:28" x14ac:dyDescent="0.25">
      <c r="AB322" s="8"/>
    </row>
    <row r="323" spans="28:28" x14ac:dyDescent="0.25">
      <c r="AB323" s="8"/>
    </row>
    <row r="324" spans="28:28" x14ac:dyDescent="0.25">
      <c r="AB324" s="8"/>
    </row>
    <row r="325" spans="28:28" x14ac:dyDescent="0.25">
      <c r="AB325" s="8"/>
    </row>
    <row r="326" spans="28:28" x14ac:dyDescent="0.25">
      <c r="AB326" s="8"/>
    </row>
    <row r="327" spans="28:28" x14ac:dyDescent="0.25">
      <c r="AB327" s="8"/>
    </row>
    <row r="328" spans="28:28" x14ac:dyDescent="0.25">
      <c r="AB328" s="8"/>
    </row>
    <row r="329" spans="28:28" x14ac:dyDescent="0.25">
      <c r="AB329" s="8"/>
    </row>
    <row r="330" spans="28:28" x14ac:dyDescent="0.25">
      <c r="AB330" s="8"/>
    </row>
    <row r="331" spans="28:28" x14ac:dyDescent="0.25">
      <c r="AB331" s="8"/>
    </row>
    <row r="332" spans="28:28" x14ac:dyDescent="0.25">
      <c r="AB332" s="8"/>
    </row>
    <row r="333" spans="28:28" x14ac:dyDescent="0.25">
      <c r="AB333" s="8"/>
    </row>
    <row r="334" spans="28:28" x14ac:dyDescent="0.25">
      <c r="AB334" s="8"/>
    </row>
    <row r="335" spans="28:28" x14ac:dyDescent="0.25">
      <c r="AB335" s="8"/>
    </row>
    <row r="336" spans="28:28" x14ac:dyDescent="0.25">
      <c r="AB336" s="8"/>
    </row>
    <row r="337" spans="28:28" x14ac:dyDescent="0.25">
      <c r="AB337" s="8"/>
    </row>
    <row r="338" spans="28:28" x14ac:dyDescent="0.25">
      <c r="AB338" s="8"/>
    </row>
    <row r="339" spans="28:28" x14ac:dyDescent="0.25">
      <c r="AB339" s="8"/>
    </row>
    <row r="340" spans="28:28" x14ac:dyDescent="0.25">
      <c r="AB340" s="8"/>
    </row>
    <row r="341" spans="28:28" x14ac:dyDescent="0.25">
      <c r="AB341" s="8"/>
    </row>
    <row r="342" spans="28:28" x14ac:dyDescent="0.25">
      <c r="AB342" s="8"/>
    </row>
    <row r="343" spans="28:28" x14ac:dyDescent="0.25">
      <c r="AB343" s="8"/>
    </row>
    <row r="344" spans="28:28" x14ac:dyDescent="0.25">
      <c r="AB344" s="8"/>
    </row>
    <row r="345" spans="28:28" x14ac:dyDescent="0.25">
      <c r="AB345" s="8"/>
    </row>
    <row r="346" spans="28:28" x14ac:dyDescent="0.25">
      <c r="AB346" s="8"/>
    </row>
    <row r="347" spans="28:28" x14ac:dyDescent="0.25">
      <c r="AB347" s="8"/>
    </row>
    <row r="348" spans="28:28" x14ac:dyDescent="0.25">
      <c r="AB348" s="8"/>
    </row>
    <row r="349" spans="28:28" x14ac:dyDescent="0.25">
      <c r="AB349" s="8"/>
    </row>
    <row r="350" spans="28:28" x14ac:dyDescent="0.25">
      <c r="AB350" s="8"/>
    </row>
    <row r="351" spans="28:28" x14ac:dyDescent="0.25">
      <c r="AB351" s="8"/>
    </row>
    <row r="352" spans="28:28" x14ac:dyDescent="0.25">
      <c r="AB352" s="8"/>
    </row>
    <row r="353" spans="28:28" x14ac:dyDescent="0.25">
      <c r="AB353" s="8"/>
    </row>
    <row r="354" spans="28:28" x14ac:dyDescent="0.25">
      <c r="AB354" s="8"/>
    </row>
    <row r="355" spans="28:28" x14ac:dyDescent="0.25">
      <c r="AB355" s="8"/>
    </row>
    <row r="356" spans="28:28" x14ac:dyDescent="0.25">
      <c r="AB356" s="8"/>
    </row>
    <row r="357" spans="28:28" x14ac:dyDescent="0.25">
      <c r="AB357" s="8"/>
    </row>
    <row r="358" spans="28:28" x14ac:dyDescent="0.25">
      <c r="AB358" s="8"/>
    </row>
    <row r="359" spans="28:28" x14ac:dyDescent="0.25">
      <c r="AB359" s="8"/>
    </row>
    <row r="360" spans="28:28" x14ac:dyDescent="0.25">
      <c r="AB360" s="8"/>
    </row>
    <row r="361" spans="28:28" x14ac:dyDescent="0.25">
      <c r="AB361" s="8"/>
    </row>
    <row r="362" spans="28:28" x14ac:dyDescent="0.25">
      <c r="AB362" s="8"/>
    </row>
    <row r="363" spans="28:28" x14ac:dyDescent="0.25">
      <c r="AB363" s="8"/>
    </row>
    <row r="364" spans="28:28" x14ac:dyDescent="0.25">
      <c r="AB364" s="8"/>
    </row>
    <row r="365" spans="28:28" x14ac:dyDescent="0.25">
      <c r="AB365" s="8"/>
    </row>
    <row r="366" spans="28:28" x14ac:dyDescent="0.25">
      <c r="AB366" s="8"/>
    </row>
    <row r="367" spans="28:28" x14ac:dyDescent="0.25">
      <c r="AB367" s="8"/>
    </row>
    <row r="368" spans="28:28" x14ac:dyDescent="0.25">
      <c r="AB368" s="8"/>
    </row>
    <row r="369" spans="28:28" x14ac:dyDescent="0.25">
      <c r="AB369" s="8"/>
    </row>
    <row r="370" spans="28:28" x14ac:dyDescent="0.25">
      <c r="AB370" s="8"/>
    </row>
    <row r="371" spans="28:28" x14ac:dyDescent="0.25">
      <c r="AB371" s="8"/>
    </row>
    <row r="372" spans="28:28" x14ac:dyDescent="0.25">
      <c r="AB372" s="8"/>
    </row>
    <row r="373" spans="28:28" x14ac:dyDescent="0.25">
      <c r="AB373" s="8"/>
    </row>
    <row r="374" spans="28:28" x14ac:dyDescent="0.25">
      <c r="AB374" s="8"/>
    </row>
    <row r="375" spans="28:28" x14ac:dyDescent="0.25">
      <c r="AB375" s="8"/>
    </row>
    <row r="376" spans="28:28" x14ac:dyDescent="0.25">
      <c r="AB376" s="8"/>
    </row>
    <row r="377" spans="28:28" x14ac:dyDescent="0.25">
      <c r="AB377" s="8"/>
    </row>
    <row r="378" spans="28:28" x14ac:dyDescent="0.25">
      <c r="AB378" s="8"/>
    </row>
    <row r="379" spans="28:28" x14ac:dyDescent="0.25">
      <c r="AB379" s="8"/>
    </row>
    <row r="380" spans="28:28" x14ac:dyDescent="0.25">
      <c r="AB380" s="8"/>
    </row>
    <row r="381" spans="28:28" x14ac:dyDescent="0.25">
      <c r="AB381" s="8"/>
    </row>
    <row r="382" spans="28:28" x14ac:dyDescent="0.25">
      <c r="AB382" s="8"/>
    </row>
    <row r="383" spans="28:28" x14ac:dyDescent="0.25">
      <c r="AB383" s="8"/>
    </row>
    <row r="384" spans="28:28" x14ac:dyDescent="0.25">
      <c r="AB384" s="8"/>
    </row>
    <row r="385" spans="28:28" x14ac:dyDescent="0.25">
      <c r="AB385" s="8"/>
    </row>
    <row r="386" spans="28:28" x14ac:dyDescent="0.25">
      <c r="AB386" s="8"/>
    </row>
    <row r="387" spans="28:28" x14ac:dyDescent="0.25">
      <c r="AB387" s="8"/>
    </row>
    <row r="388" spans="28:28" x14ac:dyDescent="0.25">
      <c r="AB388" s="8"/>
    </row>
    <row r="389" spans="28:28" x14ac:dyDescent="0.25">
      <c r="AB389" s="8"/>
    </row>
    <row r="390" spans="28:28" x14ac:dyDescent="0.25">
      <c r="AB390" s="8"/>
    </row>
    <row r="391" spans="28:28" x14ac:dyDescent="0.25">
      <c r="AB391" s="8"/>
    </row>
    <row r="392" spans="28:28" x14ac:dyDescent="0.25">
      <c r="AB392" s="8"/>
    </row>
    <row r="393" spans="28:28" x14ac:dyDescent="0.25">
      <c r="AB393" s="8"/>
    </row>
    <row r="394" spans="28:28" x14ac:dyDescent="0.25">
      <c r="AB394" s="8"/>
    </row>
    <row r="395" spans="28:28" x14ac:dyDescent="0.25">
      <c r="AB395" s="8"/>
    </row>
    <row r="396" spans="28:28" x14ac:dyDescent="0.25">
      <c r="AB396" s="8"/>
    </row>
    <row r="397" spans="28:28" x14ac:dyDescent="0.25">
      <c r="AB397" s="8"/>
    </row>
    <row r="398" spans="28:28" x14ac:dyDescent="0.25">
      <c r="AB398" s="8"/>
    </row>
    <row r="399" spans="28:28" x14ac:dyDescent="0.25">
      <c r="AB399" s="8"/>
    </row>
    <row r="400" spans="28:28" x14ac:dyDescent="0.25">
      <c r="AB400" s="8"/>
    </row>
    <row r="401" spans="28:28" x14ac:dyDescent="0.25">
      <c r="AB401" s="8"/>
    </row>
    <row r="402" spans="28:28" x14ac:dyDescent="0.25">
      <c r="AB402" s="8"/>
    </row>
    <row r="403" spans="28:28" x14ac:dyDescent="0.25">
      <c r="AB403" s="8"/>
    </row>
    <row r="404" spans="28:28" x14ac:dyDescent="0.25">
      <c r="AB404" s="8"/>
    </row>
    <row r="405" spans="28:28" x14ac:dyDescent="0.25">
      <c r="AB405" s="8"/>
    </row>
    <row r="406" spans="28:28" x14ac:dyDescent="0.25">
      <c r="AB406" s="8"/>
    </row>
    <row r="407" spans="28:28" x14ac:dyDescent="0.25">
      <c r="AB407" s="8"/>
    </row>
    <row r="408" spans="28:28" x14ac:dyDescent="0.25">
      <c r="AB408" s="8"/>
    </row>
    <row r="409" spans="28:28" x14ac:dyDescent="0.25">
      <c r="AB409" s="8"/>
    </row>
    <row r="410" spans="28:28" x14ac:dyDescent="0.25">
      <c r="AB410" s="8"/>
    </row>
    <row r="411" spans="28:28" x14ac:dyDescent="0.25">
      <c r="AB411" s="8"/>
    </row>
    <row r="412" spans="28:28" x14ac:dyDescent="0.25">
      <c r="AB412" s="8"/>
    </row>
    <row r="413" spans="28:28" x14ac:dyDescent="0.25">
      <c r="AB413" s="8"/>
    </row>
    <row r="414" spans="28:28" x14ac:dyDescent="0.25">
      <c r="AB414" s="8"/>
    </row>
    <row r="415" spans="28:28" x14ac:dyDescent="0.25">
      <c r="AB415" s="8"/>
    </row>
    <row r="416" spans="28:28" x14ac:dyDescent="0.25">
      <c r="AB416" s="8"/>
    </row>
    <row r="417" spans="28:28" x14ac:dyDescent="0.25">
      <c r="AB417" s="8"/>
    </row>
    <row r="418" spans="28:28" x14ac:dyDescent="0.25">
      <c r="AB418" s="8"/>
    </row>
    <row r="419" spans="28:28" x14ac:dyDescent="0.25">
      <c r="AB419" s="8"/>
    </row>
    <row r="420" spans="28:28" x14ac:dyDescent="0.25">
      <c r="AB420" s="8"/>
    </row>
    <row r="421" spans="28:28" x14ac:dyDescent="0.25">
      <c r="AB421" s="8"/>
    </row>
    <row r="422" spans="28:28" x14ac:dyDescent="0.25">
      <c r="AB422" s="8"/>
    </row>
    <row r="423" spans="28:28" x14ac:dyDescent="0.25">
      <c r="AB423" s="8"/>
    </row>
    <row r="424" spans="28:28" x14ac:dyDescent="0.25">
      <c r="AB424" s="8"/>
    </row>
    <row r="425" spans="28:28" x14ac:dyDescent="0.25">
      <c r="AB425" s="8"/>
    </row>
    <row r="426" spans="28:28" x14ac:dyDescent="0.25">
      <c r="AB426" s="8"/>
    </row>
    <row r="427" spans="28:28" x14ac:dyDescent="0.25">
      <c r="AB427" s="8"/>
    </row>
    <row r="428" spans="28:28" x14ac:dyDescent="0.25">
      <c r="AB428" s="8"/>
    </row>
    <row r="429" spans="28:28" x14ac:dyDescent="0.25">
      <c r="AB429" s="8"/>
    </row>
    <row r="430" spans="28:28" x14ac:dyDescent="0.25">
      <c r="AB430" s="8"/>
    </row>
    <row r="431" spans="28:28" x14ac:dyDescent="0.25">
      <c r="AB431" s="8"/>
    </row>
    <row r="432" spans="28:28" x14ac:dyDescent="0.25">
      <c r="AB432" s="8"/>
    </row>
    <row r="433" spans="28:28" x14ac:dyDescent="0.25">
      <c r="AB433" s="8"/>
    </row>
    <row r="434" spans="28:28" x14ac:dyDescent="0.25">
      <c r="AB434" s="8"/>
    </row>
    <row r="435" spans="28:28" x14ac:dyDescent="0.25">
      <c r="AB435" s="8"/>
    </row>
    <row r="436" spans="28:28" x14ac:dyDescent="0.25">
      <c r="AB436" s="8"/>
    </row>
    <row r="437" spans="28:28" x14ac:dyDescent="0.25">
      <c r="AB437" s="8"/>
    </row>
    <row r="438" spans="28:28" x14ac:dyDescent="0.25">
      <c r="AB438" s="8"/>
    </row>
    <row r="439" spans="28:28" x14ac:dyDescent="0.25">
      <c r="AB439" s="8"/>
    </row>
    <row r="440" spans="28:28" x14ac:dyDescent="0.25">
      <c r="AB440" s="8"/>
    </row>
    <row r="441" spans="28:28" x14ac:dyDescent="0.25">
      <c r="AB441" s="8"/>
    </row>
    <row r="442" spans="28:28" x14ac:dyDescent="0.25">
      <c r="AB442" s="8"/>
    </row>
    <row r="443" spans="28:28" x14ac:dyDescent="0.25">
      <c r="AB443" s="8"/>
    </row>
    <row r="444" spans="28:28" x14ac:dyDescent="0.25">
      <c r="AB444" s="8"/>
    </row>
    <row r="445" spans="28:28" x14ac:dyDescent="0.25">
      <c r="AB445" s="8"/>
    </row>
    <row r="446" spans="28:28" x14ac:dyDescent="0.25">
      <c r="AB446" s="8"/>
    </row>
    <row r="447" spans="28:28" x14ac:dyDescent="0.25">
      <c r="AB447" s="8"/>
    </row>
    <row r="448" spans="28:28" x14ac:dyDescent="0.25">
      <c r="AB448" s="8"/>
    </row>
    <row r="449" spans="28:28" x14ac:dyDescent="0.25">
      <c r="AB449" s="8"/>
    </row>
    <row r="450" spans="28:28" x14ac:dyDescent="0.25">
      <c r="AB450" s="8"/>
    </row>
    <row r="451" spans="28:28" x14ac:dyDescent="0.25">
      <c r="AB451" s="8"/>
    </row>
    <row r="452" spans="28:28" x14ac:dyDescent="0.25">
      <c r="AB452" s="8"/>
    </row>
    <row r="453" spans="28:28" x14ac:dyDescent="0.25">
      <c r="AB453" s="8"/>
    </row>
    <row r="454" spans="28:28" x14ac:dyDescent="0.25">
      <c r="AB454" s="8"/>
    </row>
    <row r="455" spans="28:28" x14ac:dyDescent="0.25">
      <c r="AB455" s="8"/>
    </row>
    <row r="456" spans="28:28" x14ac:dyDescent="0.25">
      <c r="AB456" s="8"/>
    </row>
    <row r="457" spans="28:28" x14ac:dyDescent="0.25">
      <c r="AB457" s="8"/>
    </row>
    <row r="458" spans="28:28" x14ac:dyDescent="0.25">
      <c r="AB458" s="8"/>
    </row>
    <row r="459" spans="28:28" x14ac:dyDescent="0.25">
      <c r="AB459" s="8"/>
    </row>
    <row r="460" spans="28:28" x14ac:dyDescent="0.25">
      <c r="AB460" s="8"/>
    </row>
    <row r="461" spans="28:28" x14ac:dyDescent="0.25">
      <c r="AB461" s="8"/>
    </row>
    <row r="462" spans="28:28" x14ac:dyDescent="0.25">
      <c r="AB462" s="8"/>
    </row>
    <row r="463" spans="28:28" x14ac:dyDescent="0.25">
      <c r="AB463" s="8"/>
    </row>
    <row r="464" spans="28:28" x14ac:dyDescent="0.25">
      <c r="AB464" s="8"/>
    </row>
    <row r="465" spans="28:28" x14ac:dyDescent="0.25">
      <c r="AB465" s="8"/>
    </row>
    <row r="466" spans="28:28" x14ac:dyDescent="0.25">
      <c r="AB466" s="8"/>
    </row>
    <row r="467" spans="28:28" x14ac:dyDescent="0.25">
      <c r="AB467" s="8"/>
    </row>
    <row r="468" spans="28:28" x14ac:dyDescent="0.25">
      <c r="AB468" s="8"/>
    </row>
    <row r="469" spans="28:28" x14ac:dyDescent="0.25">
      <c r="AB469" s="8"/>
    </row>
    <row r="470" spans="28:28" x14ac:dyDescent="0.25">
      <c r="AB470" s="8"/>
    </row>
    <row r="471" spans="28:28" x14ac:dyDescent="0.25">
      <c r="AB471" s="8"/>
    </row>
    <row r="472" spans="28:28" x14ac:dyDescent="0.25">
      <c r="AB472" s="8"/>
    </row>
    <row r="473" spans="28:28" x14ac:dyDescent="0.25">
      <c r="AB473" s="8"/>
    </row>
    <row r="474" spans="28:28" x14ac:dyDescent="0.25">
      <c r="AB474" s="8"/>
    </row>
    <row r="475" spans="28:28" x14ac:dyDescent="0.25">
      <c r="AB475" s="8"/>
    </row>
    <row r="476" spans="28:28" x14ac:dyDescent="0.25">
      <c r="AB476" s="8"/>
    </row>
    <row r="477" spans="28:28" x14ac:dyDescent="0.25">
      <c r="AB477" s="8"/>
    </row>
    <row r="478" spans="28:28" x14ac:dyDescent="0.25">
      <c r="AB478" s="8"/>
    </row>
    <row r="479" spans="28:28" x14ac:dyDescent="0.25">
      <c r="AB479" s="8"/>
    </row>
    <row r="480" spans="28:28" x14ac:dyDescent="0.25">
      <c r="AB480" s="8"/>
    </row>
    <row r="481" spans="28:28" x14ac:dyDescent="0.25">
      <c r="AB481" s="8"/>
    </row>
    <row r="482" spans="28:28" x14ac:dyDescent="0.25">
      <c r="AB482" s="8"/>
    </row>
    <row r="483" spans="28:28" x14ac:dyDescent="0.25">
      <c r="AB483" s="8"/>
    </row>
    <row r="484" spans="28:28" x14ac:dyDescent="0.25">
      <c r="AB484" s="8"/>
    </row>
    <row r="485" spans="28:28" x14ac:dyDescent="0.25">
      <c r="AB485" s="8"/>
    </row>
    <row r="486" spans="28:28" x14ac:dyDescent="0.25">
      <c r="AB486" s="8"/>
    </row>
    <row r="487" spans="28:28" x14ac:dyDescent="0.25">
      <c r="AB487" s="8"/>
    </row>
    <row r="488" spans="28:28" x14ac:dyDescent="0.25">
      <c r="AB488" s="8"/>
    </row>
    <row r="489" spans="28:28" x14ac:dyDescent="0.25">
      <c r="AB489" s="8"/>
    </row>
    <row r="490" spans="28:28" x14ac:dyDescent="0.25">
      <c r="AB490" s="8"/>
    </row>
    <row r="491" spans="28:28" x14ac:dyDescent="0.25">
      <c r="AB491" s="8"/>
    </row>
    <row r="492" spans="28:28" x14ac:dyDescent="0.25">
      <c r="AB492" s="8"/>
    </row>
    <row r="493" spans="28:28" x14ac:dyDescent="0.25">
      <c r="AB493" s="8"/>
    </row>
    <row r="494" spans="28:28" x14ac:dyDescent="0.25">
      <c r="AB494" s="8"/>
    </row>
    <row r="495" spans="28:28" x14ac:dyDescent="0.25">
      <c r="AB495" s="8"/>
    </row>
    <row r="496" spans="28:28" x14ac:dyDescent="0.25">
      <c r="AB496" s="8"/>
    </row>
    <row r="497" spans="28:28" x14ac:dyDescent="0.25">
      <c r="AB497" s="8"/>
    </row>
    <row r="498" spans="28:28" x14ac:dyDescent="0.25">
      <c r="AB498" s="8"/>
    </row>
    <row r="499" spans="28:28" x14ac:dyDescent="0.25">
      <c r="AB499" s="8"/>
    </row>
    <row r="500" spans="28:28" x14ac:dyDescent="0.25">
      <c r="AB500" s="8"/>
    </row>
    <row r="501" spans="28:28" x14ac:dyDescent="0.25">
      <c r="AB501" s="8"/>
    </row>
    <row r="502" spans="28:28" x14ac:dyDescent="0.25">
      <c r="AB502" s="8"/>
    </row>
    <row r="503" spans="28:28" x14ac:dyDescent="0.25">
      <c r="AB503" s="8"/>
    </row>
    <row r="504" spans="28:28" x14ac:dyDescent="0.25">
      <c r="AB504" s="8"/>
    </row>
    <row r="505" spans="28:28" x14ac:dyDescent="0.25">
      <c r="AB505" s="8"/>
    </row>
    <row r="506" spans="28:28" x14ac:dyDescent="0.25">
      <c r="AB506" s="8"/>
    </row>
    <row r="507" spans="28:28" x14ac:dyDescent="0.25">
      <c r="AB507" s="8"/>
    </row>
    <row r="508" spans="28:28" x14ac:dyDescent="0.25">
      <c r="AB508" s="8"/>
    </row>
    <row r="509" spans="28:28" x14ac:dyDescent="0.25">
      <c r="AB509" s="8"/>
    </row>
    <row r="510" spans="28:28" x14ac:dyDescent="0.25">
      <c r="AB510" s="8"/>
    </row>
    <row r="511" spans="28:28" x14ac:dyDescent="0.25">
      <c r="AB511" s="8"/>
    </row>
    <row r="512" spans="28:28" x14ac:dyDescent="0.25">
      <c r="AB512" s="8"/>
    </row>
    <row r="513" spans="28:28" x14ac:dyDescent="0.25">
      <c r="AB513" s="8"/>
    </row>
    <row r="514" spans="28:28" x14ac:dyDescent="0.25">
      <c r="AB514" s="8"/>
    </row>
    <row r="515" spans="28:28" x14ac:dyDescent="0.25">
      <c r="AB515" s="8"/>
    </row>
    <row r="516" spans="28:28" x14ac:dyDescent="0.25">
      <c r="AB516" s="8"/>
    </row>
    <row r="517" spans="28:28" x14ac:dyDescent="0.25">
      <c r="AB517" s="8"/>
    </row>
    <row r="518" spans="28:28" x14ac:dyDescent="0.25">
      <c r="AB518" s="8"/>
    </row>
    <row r="519" spans="28:28" x14ac:dyDescent="0.25">
      <c r="AB519" s="8"/>
    </row>
    <row r="520" spans="28:28" x14ac:dyDescent="0.25">
      <c r="AB520" s="8"/>
    </row>
    <row r="521" spans="28:28" x14ac:dyDescent="0.25">
      <c r="AB521" s="8"/>
    </row>
    <row r="522" spans="28:28" x14ac:dyDescent="0.25">
      <c r="AB522" s="8"/>
    </row>
    <row r="523" spans="28:28" x14ac:dyDescent="0.25">
      <c r="AB523" s="8"/>
    </row>
    <row r="524" spans="28:28" x14ac:dyDescent="0.25">
      <c r="AB524" s="8"/>
    </row>
    <row r="525" spans="28:28" x14ac:dyDescent="0.25">
      <c r="AB525" s="8"/>
    </row>
    <row r="526" spans="28:28" x14ac:dyDescent="0.25">
      <c r="AB526" s="8"/>
    </row>
    <row r="527" spans="28:28" x14ac:dyDescent="0.25">
      <c r="AB527" s="8"/>
    </row>
    <row r="528" spans="28:28" x14ac:dyDescent="0.25">
      <c r="AB528" s="8"/>
    </row>
    <row r="529" spans="28:28" x14ac:dyDescent="0.25">
      <c r="AB529" s="8"/>
    </row>
    <row r="530" spans="28:28" x14ac:dyDescent="0.25">
      <c r="AB530" s="8"/>
    </row>
    <row r="531" spans="28:28" x14ac:dyDescent="0.25">
      <c r="AB531" s="8"/>
    </row>
    <row r="532" spans="28:28" x14ac:dyDescent="0.25">
      <c r="AB532" s="8"/>
    </row>
    <row r="533" spans="28:28" x14ac:dyDescent="0.25">
      <c r="AB533" s="8"/>
    </row>
    <row r="534" spans="28:28" x14ac:dyDescent="0.25">
      <c r="AB534" s="8"/>
    </row>
    <row r="535" spans="28:28" x14ac:dyDescent="0.25">
      <c r="AB535" s="8"/>
    </row>
    <row r="536" spans="28:28" x14ac:dyDescent="0.25">
      <c r="AB536" s="8"/>
    </row>
    <row r="537" spans="28:28" x14ac:dyDescent="0.25">
      <c r="AB537" s="8"/>
    </row>
    <row r="538" spans="28:28" x14ac:dyDescent="0.25">
      <c r="AB538" s="8"/>
    </row>
    <row r="539" spans="28:28" x14ac:dyDescent="0.25">
      <c r="AB539" s="8"/>
    </row>
    <row r="540" spans="28:28" x14ac:dyDescent="0.25">
      <c r="AB540" s="8"/>
    </row>
    <row r="541" spans="28:28" x14ac:dyDescent="0.25">
      <c r="AB541" s="8"/>
    </row>
    <row r="542" spans="28:28" x14ac:dyDescent="0.25">
      <c r="AB542" s="8"/>
    </row>
    <row r="543" spans="28:28" x14ac:dyDescent="0.25">
      <c r="AB543" s="8"/>
    </row>
    <row r="544" spans="28:28" x14ac:dyDescent="0.25">
      <c r="AB544" s="8"/>
    </row>
    <row r="545" spans="28:28" x14ac:dyDescent="0.25">
      <c r="AB545" s="8"/>
    </row>
    <row r="546" spans="28:28" x14ac:dyDescent="0.25">
      <c r="AB546" s="8"/>
    </row>
    <row r="547" spans="28:28" x14ac:dyDescent="0.25">
      <c r="AB547" s="8"/>
    </row>
    <row r="548" spans="28:28" x14ac:dyDescent="0.25">
      <c r="AB548" s="8"/>
    </row>
    <row r="549" spans="28:28" x14ac:dyDescent="0.25">
      <c r="AB549" s="8"/>
    </row>
    <row r="550" spans="28:28" x14ac:dyDescent="0.25">
      <c r="AB550" s="8"/>
    </row>
    <row r="551" spans="28:28" x14ac:dyDescent="0.25">
      <c r="AB551" s="8"/>
    </row>
    <row r="552" spans="28:28" x14ac:dyDescent="0.25">
      <c r="AB552" s="8"/>
    </row>
    <row r="553" spans="28:28" x14ac:dyDescent="0.25">
      <c r="AB553" s="8"/>
    </row>
    <row r="554" spans="28:28" x14ac:dyDescent="0.25">
      <c r="AB554" s="8"/>
    </row>
    <row r="555" spans="28:28" x14ac:dyDescent="0.25">
      <c r="AB555" s="8"/>
    </row>
    <row r="556" spans="28:28" x14ac:dyDescent="0.25">
      <c r="AB556" s="8"/>
    </row>
    <row r="557" spans="28:28" x14ac:dyDescent="0.25">
      <c r="AB557" s="8"/>
    </row>
    <row r="558" spans="28:28" x14ac:dyDescent="0.25">
      <c r="AB558" s="8"/>
    </row>
    <row r="559" spans="28:28" x14ac:dyDescent="0.25">
      <c r="AB559" s="8"/>
    </row>
    <row r="560" spans="28:28" x14ac:dyDescent="0.25">
      <c r="AB560" s="8"/>
    </row>
    <row r="561" spans="28:28" x14ac:dyDescent="0.25">
      <c r="AB561" s="8"/>
    </row>
    <row r="562" spans="28:28" x14ac:dyDescent="0.25">
      <c r="AB562" s="8"/>
    </row>
    <row r="563" spans="28:28" x14ac:dyDescent="0.25">
      <c r="AB563" s="8"/>
    </row>
    <row r="564" spans="28:28" x14ac:dyDescent="0.25">
      <c r="AB564" s="8"/>
    </row>
    <row r="565" spans="28:28" x14ac:dyDescent="0.25">
      <c r="AB565" s="8"/>
    </row>
    <row r="566" spans="28:28" x14ac:dyDescent="0.25">
      <c r="AB566" s="8"/>
    </row>
    <row r="567" spans="28:28" x14ac:dyDescent="0.25">
      <c r="AB567" s="8"/>
    </row>
    <row r="568" spans="28:28" x14ac:dyDescent="0.25">
      <c r="AB568" s="8"/>
    </row>
    <row r="569" spans="28:28" x14ac:dyDescent="0.25">
      <c r="AB569" s="8"/>
    </row>
    <row r="570" spans="28:28" x14ac:dyDescent="0.25">
      <c r="AB570" s="8"/>
    </row>
    <row r="571" spans="28:28" x14ac:dyDescent="0.25">
      <c r="AB571" s="8"/>
    </row>
    <row r="572" spans="28:28" x14ac:dyDescent="0.25">
      <c r="AB572" s="8"/>
    </row>
    <row r="573" spans="28:28" x14ac:dyDescent="0.25">
      <c r="AB573" s="8"/>
    </row>
    <row r="574" spans="28:28" x14ac:dyDescent="0.25">
      <c r="AB574" s="8"/>
    </row>
    <row r="575" spans="28:28" x14ac:dyDescent="0.25">
      <c r="AB575" s="8"/>
    </row>
    <row r="576" spans="28:28" x14ac:dyDescent="0.25">
      <c r="AB576" s="8"/>
    </row>
    <row r="577" spans="28:28" x14ac:dyDescent="0.25">
      <c r="AB577" s="8"/>
    </row>
    <row r="578" spans="28:28" x14ac:dyDescent="0.25">
      <c r="AB578" s="8"/>
    </row>
    <row r="579" spans="28:28" x14ac:dyDescent="0.25">
      <c r="AB579" s="8"/>
    </row>
    <row r="580" spans="28:28" x14ac:dyDescent="0.25">
      <c r="AB580" s="8"/>
    </row>
    <row r="581" spans="28:28" x14ac:dyDescent="0.25">
      <c r="AB581" s="8"/>
    </row>
    <row r="582" spans="28:28" x14ac:dyDescent="0.25">
      <c r="AB582" s="8"/>
    </row>
    <row r="583" spans="28:28" x14ac:dyDescent="0.25">
      <c r="AB583" s="8"/>
    </row>
    <row r="584" spans="28:28" x14ac:dyDescent="0.25">
      <c r="AB584" s="8"/>
    </row>
    <row r="585" spans="28:28" x14ac:dyDescent="0.25">
      <c r="AB585" s="8"/>
    </row>
    <row r="586" spans="28:28" x14ac:dyDescent="0.25">
      <c r="AB586" s="8"/>
    </row>
    <row r="587" spans="28:28" x14ac:dyDescent="0.25">
      <c r="AB587" s="8"/>
    </row>
    <row r="588" spans="28:28" x14ac:dyDescent="0.25">
      <c r="AB588" s="8"/>
    </row>
    <row r="589" spans="28:28" x14ac:dyDescent="0.25">
      <c r="AB589" s="8"/>
    </row>
    <row r="590" spans="28:28" x14ac:dyDescent="0.25">
      <c r="AB590" s="8"/>
    </row>
    <row r="591" spans="28:28" x14ac:dyDescent="0.25">
      <c r="AB591" s="8"/>
    </row>
    <row r="592" spans="28:28" x14ac:dyDescent="0.25">
      <c r="AB592" s="8"/>
    </row>
    <row r="593" spans="28:28" x14ac:dyDescent="0.25">
      <c r="AB593" s="8"/>
    </row>
    <row r="594" spans="28:28" x14ac:dyDescent="0.25">
      <c r="AB594" s="8"/>
    </row>
    <row r="595" spans="28:28" x14ac:dyDescent="0.25">
      <c r="AB595" s="8"/>
    </row>
    <row r="596" spans="28:28" x14ac:dyDescent="0.25">
      <c r="AB596" s="8"/>
    </row>
    <row r="597" spans="28:28" x14ac:dyDescent="0.25">
      <c r="AB597" s="8"/>
    </row>
    <row r="598" spans="28:28" x14ac:dyDescent="0.25">
      <c r="AB598" s="8"/>
    </row>
    <row r="599" spans="28:28" x14ac:dyDescent="0.25">
      <c r="AB599" s="8"/>
    </row>
    <row r="600" spans="28:28" x14ac:dyDescent="0.25">
      <c r="AB600" s="8"/>
    </row>
    <row r="601" spans="28:28" x14ac:dyDescent="0.25">
      <c r="AB601" s="8"/>
    </row>
    <row r="602" spans="28:28" x14ac:dyDescent="0.25">
      <c r="AB602" s="8"/>
    </row>
    <row r="603" spans="28:28" x14ac:dyDescent="0.25">
      <c r="AB603" s="8"/>
    </row>
    <row r="604" spans="28:28" x14ac:dyDescent="0.25">
      <c r="AB604" s="8"/>
    </row>
    <row r="605" spans="28:28" x14ac:dyDescent="0.25">
      <c r="AB605" s="8"/>
    </row>
    <row r="606" spans="28:28" x14ac:dyDescent="0.25">
      <c r="AB606" s="8"/>
    </row>
    <row r="607" spans="28:28" x14ac:dyDescent="0.25">
      <c r="AB607" s="8"/>
    </row>
    <row r="608" spans="28:28" x14ac:dyDescent="0.25">
      <c r="AB608" s="8"/>
    </row>
    <row r="609" spans="28:28" x14ac:dyDescent="0.25">
      <c r="AB609" s="8"/>
    </row>
    <row r="610" spans="28:28" x14ac:dyDescent="0.25">
      <c r="AB610" s="8"/>
    </row>
    <row r="611" spans="28:28" x14ac:dyDescent="0.25">
      <c r="AB611" s="8"/>
    </row>
    <row r="612" spans="28:28" x14ac:dyDescent="0.25">
      <c r="AB612" s="8"/>
    </row>
    <row r="613" spans="28:28" x14ac:dyDescent="0.25">
      <c r="AB613" s="8"/>
    </row>
    <row r="614" spans="28:28" x14ac:dyDescent="0.25">
      <c r="AB614" s="8"/>
    </row>
    <row r="615" spans="28:28" x14ac:dyDescent="0.25">
      <c r="AB615" s="8"/>
    </row>
    <row r="616" spans="28:28" x14ac:dyDescent="0.25">
      <c r="AB616" s="8"/>
    </row>
    <row r="617" spans="28:28" x14ac:dyDescent="0.25">
      <c r="AB617" s="8"/>
    </row>
    <row r="618" spans="28:28" x14ac:dyDescent="0.25">
      <c r="AB618" s="8"/>
    </row>
    <row r="619" spans="28:28" x14ac:dyDescent="0.25">
      <c r="AB619" s="8"/>
    </row>
    <row r="620" spans="28:28" x14ac:dyDescent="0.25">
      <c r="AB620" s="8"/>
    </row>
    <row r="621" spans="28:28" x14ac:dyDescent="0.25">
      <c r="AB621" s="8"/>
    </row>
    <row r="622" spans="28:28" x14ac:dyDescent="0.25">
      <c r="AB622" s="8"/>
    </row>
    <row r="623" spans="28:28" x14ac:dyDescent="0.25">
      <c r="AB623" s="8"/>
    </row>
    <row r="624" spans="28:28" x14ac:dyDescent="0.25">
      <c r="AB624" s="8"/>
    </row>
    <row r="625" spans="28:28" x14ac:dyDescent="0.25">
      <c r="AB625" s="8"/>
    </row>
    <row r="626" spans="28:28" x14ac:dyDescent="0.25">
      <c r="AB626" s="8"/>
    </row>
    <row r="627" spans="28:28" x14ac:dyDescent="0.25">
      <c r="AB627" s="8"/>
    </row>
    <row r="628" spans="28:28" x14ac:dyDescent="0.25">
      <c r="AB628" s="8"/>
    </row>
    <row r="629" spans="28:28" x14ac:dyDescent="0.25">
      <c r="AB629" s="8"/>
    </row>
    <row r="630" spans="28:28" x14ac:dyDescent="0.25">
      <c r="AB630" s="8"/>
    </row>
    <row r="631" spans="28:28" x14ac:dyDescent="0.25">
      <c r="AB631" s="8"/>
    </row>
    <row r="632" spans="28:28" x14ac:dyDescent="0.25">
      <c r="AB632" s="8"/>
    </row>
    <row r="633" spans="28:28" x14ac:dyDescent="0.25">
      <c r="AB633" s="8"/>
    </row>
    <row r="634" spans="28:28" x14ac:dyDescent="0.25">
      <c r="AB634" s="8"/>
    </row>
    <row r="635" spans="28:28" x14ac:dyDescent="0.25">
      <c r="AB635" s="8"/>
    </row>
    <row r="636" spans="28:28" x14ac:dyDescent="0.25">
      <c r="AB636" s="8"/>
    </row>
    <row r="637" spans="28:28" x14ac:dyDescent="0.25">
      <c r="AB637" s="8"/>
    </row>
    <row r="638" spans="28:28" x14ac:dyDescent="0.25">
      <c r="AB638" s="8"/>
    </row>
    <row r="639" spans="28:28" x14ac:dyDescent="0.25">
      <c r="AB639" s="8"/>
    </row>
    <row r="640" spans="28:28" x14ac:dyDescent="0.25">
      <c r="AB640" s="8"/>
    </row>
    <row r="641" spans="28:28" x14ac:dyDescent="0.25">
      <c r="AB641" s="8"/>
    </row>
    <row r="642" spans="28:28" x14ac:dyDescent="0.25">
      <c r="AB642" s="8"/>
    </row>
    <row r="643" spans="28:28" x14ac:dyDescent="0.25">
      <c r="AB643" s="8"/>
    </row>
    <row r="644" spans="28:28" x14ac:dyDescent="0.25">
      <c r="AB644" s="8"/>
    </row>
    <row r="645" spans="28:28" x14ac:dyDescent="0.25">
      <c r="AB645" s="8"/>
    </row>
    <row r="646" spans="28:28" x14ac:dyDescent="0.25">
      <c r="AB646" s="8"/>
    </row>
    <row r="647" spans="28:28" x14ac:dyDescent="0.25">
      <c r="AB647" s="8"/>
    </row>
    <row r="648" spans="28:28" x14ac:dyDescent="0.25">
      <c r="AB648" s="8"/>
    </row>
    <row r="649" spans="28:28" x14ac:dyDescent="0.25">
      <c r="AB649" s="8"/>
    </row>
    <row r="650" spans="28:28" x14ac:dyDescent="0.25">
      <c r="AB650" s="8"/>
    </row>
    <row r="651" spans="28:28" x14ac:dyDescent="0.25">
      <c r="AB651" s="8"/>
    </row>
    <row r="652" spans="28:28" x14ac:dyDescent="0.25">
      <c r="AB652" s="8"/>
    </row>
    <row r="653" spans="28:28" x14ac:dyDescent="0.25">
      <c r="AB653" s="8"/>
    </row>
    <row r="654" spans="28:28" x14ac:dyDescent="0.25">
      <c r="AB654" s="8"/>
    </row>
    <row r="655" spans="28:28" x14ac:dyDescent="0.25">
      <c r="AB655" s="8"/>
    </row>
    <row r="656" spans="28:28" x14ac:dyDescent="0.25">
      <c r="AB656" s="8"/>
    </row>
    <row r="657" spans="28:28" x14ac:dyDescent="0.25">
      <c r="AB657" s="8"/>
    </row>
    <row r="658" spans="28:28" x14ac:dyDescent="0.25">
      <c r="AB658" s="8"/>
    </row>
    <row r="659" spans="28:28" x14ac:dyDescent="0.25">
      <c r="AB659" s="8"/>
    </row>
    <row r="660" spans="28:28" x14ac:dyDescent="0.25">
      <c r="AB660" s="8"/>
    </row>
    <row r="661" spans="28:28" x14ac:dyDescent="0.25">
      <c r="AB661" s="8"/>
    </row>
    <row r="662" spans="28:28" x14ac:dyDescent="0.25">
      <c r="AB662" s="8"/>
    </row>
    <row r="663" spans="28:28" x14ac:dyDescent="0.25">
      <c r="AB663" s="8"/>
    </row>
    <row r="664" spans="28:28" x14ac:dyDescent="0.25">
      <c r="AB664" s="8"/>
    </row>
    <row r="665" spans="28:28" x14ac:dyDescent="0.25">
      <c r="AB665" s="8"/>
    </row>
    <row r="666" spans="28:28" x14ac:dyDescent="0.25">
      <c r="AB666" s="8"/>
    </row>
    <row r="667" spans="28:28" x14ac:dyDescent="0.25">
      <c r="AB667" s="8"/>
    </row>
    <row r="668" spans="28:28" x14ac:dyDescent="0.25">
      <c r="AB668" s="8"/>
    </row>
    <row r="669" spans="28:28" x14ac:dyDescent="0.25">
      <c r="AB669" s="8"/>
    </row>
    <row r="670" spans="28:28" x14ac:dyDescent="0.25">
      <c r="AB670" s="8"/>
    </row>
    <row r="671" spans="28:28" x14ac:dyDescent="0.25">
      <c r="AB671" s="8"/>
    </row>
    <row r="672" spans="28:28" x14ac:dyDescent="0.25">
      <c r="AB672" s="8"/>
    </row>
    <row r="673" spans="28:28" x14ac:dyDescent="0.25">
      <c r="AB673" s="8"/>
    </row>
    <row r="674" spans="28:28" x14ac:dyDescent="0.25">
      <c r="AB674" s="8"/>
    </row>
    <row r="675" spans="28:28" x14ac:dyDescent="0.25">
      <c r="AB675" s="8"/>
    </row>
    <row r="676" spans="28:28" x14ac:dyDescent="0.25">
      <c r="AB676" s="8"/>
    </row>
    <row r="677" spans="28:28" x14ac:dyDescent="0.25">
      <c r="AB677" s="8"/>
    </row>
    <row r="678" spans="28:28" x14ac:dyDescent="0.25">
      <c r="AB678" s="8"/>
    </row>
    <row r="679" spans="28:28" x14ac:dyDescent="0.25">
      <c r="AB679" s="8"/>
    </row>
    <row r="680" spans="28:28" x14ac:dyDescent="0.25">
      <c r="AB680" s="8"/>
    </row>
    <row r="681" spans="28:28" x14ac:dyDescent="0.25">
      <c r="AB681" s="8"/>
    </row>
    <row r="682" spans="28:28" x14ac:dyDescent="0.25">
      <c r="AB682" s="8"/>
    </row>
    <row r="683" spans="28:28" x14ac:dyDescent="0.25">
      <c r="AB683" s="8"/>
    </row>
    <row r="684" spans="28:28" x14ac:dyDescent="0.25">
      <c r="AB684" s="8"/>
    </row>
    <row r="685" spans="28:28" x14ac:dyDescent="0.25">
      <c r="AB685" s="8"/>
    </row>
    <row r="686" spans="28:28" x14ac:dyDescent="0.25">
      <c r="AB686" s="8"/>
    </row>
    <row r="687" spans="28:28" x14ac:dyDescent="0.25">
      <c r="AB687" s="8"/>
    </row>
    <row r="688" spans="28:28" x14ac:dyDescent="0.25">
      <c r="AB688" s="8"/>
    </row>
    <row r="689" spans="28:28" x14ac:dyDescent="0.25">
      <c r="AB689" s="8"/>
    </row>
    <row r="690" spans="28:28" x14ac:dyDescent="0.25">
      <c r="AB690" s="8"/>
    </row>
    <row r="691" spans="28:28" x14ac:dyDescent="0.25">
      <c r="AB691" s="8"/>
    </row>
    <row r="692" spans="28:28" x14ac:dyDescent="0.25">
      <c r="AB692" s="8"/>
    </row>
    <row r="693" spans="28:28" x14ac:dyDescent="0.25">
      <c r="AB693" s="8"/>
    </row>
    <row r="694" spans="28:28" x14ac:dyDescent="0.25">
      <c r="AB694" s="8"/>
    </row>
    <row r="695" spans="28:28" x14ac:dyDescent="0.25">
      <c r="AB695" s="8"/>
    </row>
    <row r="696" spans="28:28" x14ac:dyDescent="0.25">
      <c r="AB696" s="8"/>
    </row>
    <row r="697" spans="28:28" x14ac:dyDescent="0.25">
      <c r="AB697" s="8"/>
    </row>
    <row r="698" spans="28:28" x14ac:dyDescent="0.25">
      <c r="AB698" s="8"/>
    </row>
    <row r="699" spans="28:28" x14ac:dyDescent="0.25">
      <c r="AB699" s="8"/>
    </row>
    <row r="700" spans="28:28" x14ac:dyDescent="0.25">
      <c r="AB700" s="8"/>
    </row>
    <row r="701" spans="28:28" x14ac:dyDescent="0.25">
      <c r="AB701" s="8"/>
    </row>
    <row r="702" spans="28:28" x14ac:dyDescent="0.25">
      <c r="AB702" s="8"/>
    </row>
    <row r="703" spans="28:28" x14ac:dyDescent="0.25">
      <c r="AB703" s="8"/>
    </row>
    <row r="704" spans="28:28" x14ac:dyDescent="0.25">
      <c r="AB704" s="8"/>
    </row>
    <row r="705" spans="28:28" x14ac:dyDescent="0.25">
      <c r="AB705" s="8"/>
    </row>
    <row r="706" spans="28:28" x14ac:dyDescent="0.25">
      <c r="AB706" s="8"/>
    </row>
    <row r="707" spans="28:28" x14ac:dyDescent="0.25">
      <c r="AB707" s="8"/>
    </row>
    <row r="708" spans="28:28" x14ac:dyDescent="0.25">
      <c r="AB708" s="8"/>
    </row>
    <row r="709" spans="28:28" x14ac:dyDescent="0.25">
      <c r="AB709" s="8"/>
    </row>
    <row r="710" spans="28:28" x14ac:dyDescent="0.25">
      <c r="AB710" s="8"/>
    </row>
    <row r="711" spans="28:28" x14ac:dyDescent="0.25">
      <c r="AB711" s="8"/>
    </row>
    <row r="712" spans="28:28" x14ac:dyDescent="0.25">
      <c r="AB712" s="8"/>
    </row>
    <row r="713" spans="28:28" x14ac:dyDescent="0.25">
      <c r="AB713" s="8"/>
    </row>
    <row r="714" spans="28:28" x14ac:dyDescent="0.25">
      <c r="AB714" s="8"/>
    </row>
    <row r="715" spans="28:28" x14ac:dyDescent="0.25">
      <c r="AB715" s="8"/>
    </row>
    <row r="716" spans="28:28" x14ac:dyDescent="0.25">
      <c r="AB716" s="8"/>
    </row>
    <row r="717" spans="28:28" x14ac:dyDescent="0.25">
      <c r="AB717" s="8"/>
    </row>
    <row r="718" spans="28:28" x14ac:dyDescent="0.25">
      <c r="AB718" s="8"/>
    </row>
    <row r="719" spans="28:28" x14ac:dyDescent="0.25">
      <c r="AB719" s="8"/>
    </row>
    <row r="720" spans="28:28" x14ac:dyDescent="0.25">
      <c r="AB720" s="8"/>
    </row>
    <row r="721" spans="28:28" x14ac:dyDescent="0.25">
      <c r="AB721" s="8"/>
    </row>
    <row r="722" spans="28:28" x14ac:dyDescent="0.25">
      <c r="AB722" s="8"/>
    </row>
    <row r="723" spans="28:28" x14ac:dyDescent="0.25">
      <c r="AB723" s="8"/>
    </row>
    <row r="724" spans="28:28" x14ac:dyDescent="0.25">
      <c r="AB724" s="8"/>
    </row>
    <row r="725" spans="28:28" x14ac:dyDescent="0.25">
      <c r="AB725" s="8"/>
    </row>
    <row r="726" spans="28:28" x14ac:dyDescent="0.25">
      <c r="AB726" s="8"/>
    </row>
    <row r="727" spans="28:28" x14ac:dyDescent="0.25">
      <c r="AB727" s="8"/>
    </row>
    <row r="728" spans="28:28" x14ac:dyDescent="0.25">
      <c r="AB728" s="8"/>
    </row>
    <row r="729" spans="28:28" x14ac:dyDescent="0.25">
      <c r="AB729" s="8"/>
    </row>
    <row r="730" spans="28:28" x14ac:dyDescent="0.25">
      <c r="AB730" s="8"/>
    </row>
    <row r="731" spans="28:28" x14ac:dyDescent="0.25">
      <c r="AB731" s="8"/>
    </row>
    <row r="732" spans="28:28" x14ac:dyDescent="0.25">
      <c r="AB732" s="8"/>
    </row>
    <row r="733" spans="28:28" x14ac:dyDescent="0.25">
      <c r="AB733" s="8"/>
    </row>
    <row r="734" spans="28:28" x14ac:dyDescent="0.25">
      <c r="AB734" s="8"/>
    </row>
    <row r="735" spans="28:28" x14ac:dyDescent="0.25">
      <c r="AB735" s="8"/>
    </row>
    <row r="736" spans="28:28" x14ac:dyDescent="0.25">
      <c r="AB736" s="8"/>
    </row>
    <row r="737" spans="28:28" x14ac:dyDescent="0.25">
      <c r="AB737" s="8"/>
    </row>
    <row r="738" spans="28:28" x14ac:dyDescent="0.25">
      <c r="AB738" s="8"/>
    </row>
    <row r="739" spans="28:28" x14ac:dyDescent="0.25">
      <c r="AB739" s="8"/>
    </row>
    <row r="740" spans="28:28" x14ac:dyDescent="0.25">
      <c r="AB740" s="8"/>
    </row>
    <row r="741" spans="28:28" x14ac:dyDescent="0.25">
      <c r="AB741" s="8"/>
    </row>
    <row r="742" spans="28:28" x14ac:dyDescent="0.25">
      <c r="AB742" s="8"/>
    </row>
    <row r="743" spans="28:28" x14ac:dyDescent="0.25">
      <c r="AB743" s="8"/>
    </row>
    <row r="744" spans="28:28" x14ac:dyDescent="0.25">
      <c r="AB744" s="8"/>
    </row>
    <row r="745" spans="28:28" x14ac:dyDescent="0.25">
      <c r="AB745" s="8"/>
    </row>
    <row r="746" spans="28:28" x14ac:dyDescent="0.25">
      <c r="AB746" s="8"/>
    </row>
    <row r="747" spans="28:28" x14ac:dyDescent="0.25">
      <c r="AB747" s="8"/>
    </row>
    <row r="748" spans="28:28" x14ac:dyDescent="0.25">
      <c r="AB748" s="8"/>
    </row>
    <row r="749" spans="28:28" x14ac:dyDescent="0.25">
      <c r="AB749" s="8"/>
    </row>
    <row r="750" spans="28:28" x14ac:dyDescent="0.25">
      <c r="AB750" s="8"/>
    </row>
    <row r="751" spans="28:28" x14ac:dyDescent="0.25">
      <c r="AB751" s="8"/>
    </row>
    <row r="752" spans="28:28" x14ac:dyDescent="0.25">
      <c r="AB752" s="8"/>
    </row>
    <row r="753" spans="28:28" x14ac:dyDescent="0.25">
      <c r="AB753" s="8"/>
    </row>
    <row r="754" spans="28:28" x14ac:dyDescent="0.25">
      <c r="AB754" s="8"/>
    </row>
    <row r="755" spans="28:28" x14ac:dyDescent="0.25">
      <c r="AB755" s="8"/>
    </row>
    <row r="756" spans="28:28" x14ac:dyDescent="0.25">
      <c r="AB756" s="8"/>
    </row>
    <row r="757" spans="28:28" x14ac:dyDescent="0.25">
      <c r="AB757" s="8"/>
    </row>
    <row r="758" spans="28:28" x14ac:dyDescent="0.25">
      <c r="AB758" s="8"/>
    </row>
    <row r="759" spans="28:28" x14ac:dyDescent="0.25">
      <c r="AB759" s="8"/>
    </row>
    <row r="760" spans="28:28" x14ac:dyDescent="0.25">
      <c r="AB760" s="8"/>
    </row>
    <row r="761" spans="28:28" x14ac:dyDescent="0.25">
      <c r="AB761" s="8"/>
    </row>
    <row r="762" spans="28:28" x14ac:dyDescent="0.25">
      <c r="AB762" s="8"/>
    </row>
    <row r="763" spans="28:28" x14ac:dyDescent="0.25">
      <c r="AB763" s="8"/>
    </row>
    <row r="764" spans="28:28" x14ac:dyDescent="0.25">
      <c r="AB764" s="8"/>
    </row>
    <row r="765" spans="28:28" x14ac:dyDescent="0.25">
      <c r="AB765" s="8"/>
    </row>
    <row r="766" spans="28:28" x14ac:dyDescent="0.25">
      <c r="AB766" s="8"/>
    </row>
    <row r="767" spans="28:28" x14ac:dyDescent="0.25">
      <c r="AB767" s="8"/>
    </row>
    <row r="768" spans="28:28" x14ac:dyDescent="0.25">
      <c r="AB768" s="8"/>
    </row>
    <row r="769" spans="28:28" x14ac:dyDescent="0.25">
      <c r="AB769" s="8"/>
    </row>
    <row r="770" spans="28:28" x14ac:dyDescent="0.25">
      <c r="AB770" s="8"/>
    </row>
    <row r="771" spans="28:28" x14ac:dyDescent="0.25">
      <c r="AB771" s="8"/>
    </row>
    <row r="772" spans="28:28" x14ac:dyDescent="0.25">
      <c r="AB772" s="8"/>
    </row>
    <row r="773" spans="28:28" x14ac:dyDescent="0.25">
      <c r="AB773" s="8"/>
    </row>
    <row r="774" spans="28:28" x14ac:dyDescent="0.25">
      <c r="AB774" s="8"/>
    </row>
    <row r="775" spans="28:28" x14ac:dyDescent="0.25">
      <c r="AB775" s="8"/>
    </row>
    <row r="776" spans="28:28" x14ac:dyDescent="0.25">
      <c r="AB776" s="8"/>
    </row>
    <row r="777" spans="28:28" x14ac:dyDescent="0.25">
      <c r="AB777" s="8"/>
    </row>
    <row r="778" spans="28:28" x14ac:dyDescent="0.25">
      <c r="AB778" s="8"/>
    </row>
    <row r="779" spans="28:28" x14ac:dyDescent="0.25">
      <c r="AB779" s="8"/>
    </row>
    <row r="780" spans="28:28" x14ac:dyDescent="0.25">
      <c r="AB780" s="8"/>
    </row>
    <row r="781" spans="28:28" x14ac:dyDescent="0.25">
      <c r="AB781" s="8"/>
    </row>
    <row r="782" spans="28:28" x14ac:dyDescent="0.25">
      <c r="AB782" s="8"/>
    </row>
    <row r="783" spans="28:28" x14ac:dyDescent="0.25">
      <c r="AB783" s="8"/>
    </row>
    <row r="784" spans="28:28" x14ac:dyDescent="0.25">
      <c r="AB784" s="8"/>
    </row>
    <row r="785" spans="28:28" x14ac:dyDescent="0.25">
      <c r="AB785" s="8"/>
    </row>
    <row r="786" spans="28:28" x14ac:dyDescent="0.25">
      <c r="AB786" s="8"/>
    </row>
    <row r="787" spans="28:28" x14ac:dyDescent="0.25">
      <c r="AB787" s="8"/>
    </row>
    <row r="788" spans="28:28" x14ac:dyDescent="0.25">
      <c r="AB788" s="8"/>
    </row>
    <row r="789" spans="28:28" x14ac:dyDescent="0.25">
      <c r="AB789" s="8"/>
    </row>
    <row r="790" spans="28:28" x14ac:dyDescent="0.25">
      <c r="AB790" s="8"/>
    </row>
    <row r="791" spans="28:28" x14ac:dyDescent="0.25">
      <c r="AB791" s="8"/>
    </row>
    <row r="792" spans="28:28" x14ac:dyDescent="0.25">
      <c r="AB792" s="8"/>
    </row>
    <row r="793" spans="28:28" x14ac:dyDescent="0.25">
      <c r="AB793" s="8"/>
    </row>
    <row r="794" spans="28:28" x14ac:dyDescent="0.25">
      <c r="AB794" s="8"/>
    </row>
    <row r="795" spans="28:28" x14ac:dyDescent="0.25">
      <c r="AB795" s="8"/>
    </row>
    <row r="796" spans="28:28" x14ac:dyDescent="0.25">
      <c r="AB796" s="8"/>
    </row>
    <row r="797" spans="28:28" x14ac:dyDescent="0.25">
      <c r="AB797" s="8"/>
    </row>
    <row r="798" spans="28:28" x14ac:dyDescent="0.25">
      <c r="AB798" s="8"/>
    </row>
    <row r="799" spans="28:28" x14ac:dyDescent="0.25">
      <c r="AB799" s="8"/>
    </row>
    <row r="800" spans="28:28" x14ac:dyDescent="0.25">
      <c r="AB800" s="8"/>
    </row>
    <row r="801" spans="28:28" x14ac:dyDescent="0.25">
      <c r="AB801" s="8"/>
    </row>
    <row r="802" spans="28:28" x14ac:dyDescent="0.25">
      <c r="AB802" s="8"/>
    </row>
    <row r="803" spans="28:28" x14ac:dyDescent="0.25">
      <c r="AB803" s="8"/>
    </row>
    <row r="804" spans="28:28" x14ac:dyDescent="0.25">
      <c r="AB804" s="8"/>
    </row>
    <row r="805" spans="28:28" x14ac:dyDescent="0.25">
      <c r="AB805" s="8"/>
    </row>
    <row r="806" spans="28:28" x14ac:dyDescent="0.25">
      <c r="AB806" s="8"/>
    </row>
    <row r="807" spans="28:28" x14ac:dyDescent="0.25">
      <c r="AB807" s="8"/>
    </row>
    <row r="808" spans="28:28" x14ac:dyDescent="0.25">
      <c r="AB808" s="8"/>
    </row>
    <row r="809" spans="28:28" x14ac:dyDescent="0.25">
      <c r="AB809" s="8"/>
    </row>
    <row r="810" spans="28:28" x14ac:dyDescent="0.25">
      <c r="AB810" s="8"/>
    </row>
    <row r="811" spans="28:28" x14ac:dyDescent="0.25">
      <c r="AB811" s="8"/>
    </row>
    <row r="812" spans="28:28" x14ac:dyDescent="0.25">
      <c r="AB812" s="8"/>
    </row>
    <row r="813" spans="28:28" x14ac:dyDescent="0.25">
      <c r="AB813" s="8"/>
    </row>
    <row r="814" spans="28:28" x14ac:dyDescent="0.25">
      <c r="AB814" s="8"/>
    </row>
    <row r="815" spans="28:28" x14ac:dyDescent="0.25">
      <c r="AB815" s="8"/>
    </row>
    <row r="816" spans="28:28" x14ac:dyDescent="0.25">
      <c r="AB816" s="8"/>
    </row>
    <row r="817" spans="28:28" x14ac:dyDescent="0.25">
      <c r="AB817" s="8"/>
    </row>
    <row r="818" spans="28:28" x14ac:dyDescent="0.25">
      <c r="AB818" s="8"/>
    </row>
    <row r="819" spans="28:28" x14ac:dyDescent="0.25">
      <c r="AB819" s="8"/>
    </row>
    <row r="820" spans="28:28" x14ac:dyDescent="0.25">
      <c r="AB820" s="8"/>
    </row>
    <row r="821" spans="28:28" x14ac:dyDescent="0.25">
      <c r="AB821" s="8"/>
    </row>
    <row r="822" spans="28:28" x14ac:dyDescent="0.25">
      <c r="AB822" s="8"/>
    </row>
    <row r="823" spans="28:28" x14ac:dyDescent="0.25">
      <c r="AB823" s="8"/>
    </row>
    <row r="824" spans="28:28" x14ac:dyDescent="0.25">
      <c r="AB824" s="8"/>
    </row>
    <row r="825" spans="28:28" x14ac:dyDescent="0.25">
      <c r="AB825" s="8"/>
    </row>
    <row r="826" spans="28:28" x14ac:dyDescent="0.25">
      <c r="AB826" s="8"/>
    </row>
    <row r="827" spans="28:28" x14ac:dyDescent="0.25">
      <c r="AB827" s="8"/>
    </row>
    <row r="828" spans="28:28" x14ac:dyDescent="0.25">
      <c r="AB828" s="8"/>
    </row>
    <row r="829" spans="28:28" x14ac:dyDescent="0.25">
      <c r="AB829" s="8"/>
    </row>
    <row r="830" spans="28:28" x14ac:dyDescent="0.25">
      <c r="AB830" s="8"/>
    </row>
    <row r="831" spans="28:28" x14ac:dyDescent="0.25">
      <c r="AB831" s="8"/>
    </row>
    <row r="832" spans="28:28" x14ac:dyDescent="0.25">
      <c r="AB832" s="8"/>
    </row>
    <row r="833" spans="28:28" x14ac:dyDescent="0.25">
      <c r="AB833" s="8"/>
    </row>
    <row r="834" spans="28:28" x14ac:dyDescent="0.25">
      <c r="AB834" s="8"/>
    </row>
    <row r="835" spans="28:28" x14ac:dyDescent="0.25">
      <c r="AB835" s="8"/>
    </row>
    <row r="836" spans="28:28" x14ac:dyDescent="0.25">
      <c r="AB836" s="8"/>
    </row>
    <row r="837" spans="28:28" x14ac:dyDescent="0.25">
      <c r="AB837" s="8"/>
    </row>
    <row r="838" spans="28:28" x14ac:dyDescent="0.25">
      <c r="AB838" s="8"/>
    </row>
    <row r="839" spans="28:28" x14ac:dyDescent="0.25">
      <c r="AB839" s="8"/>
    </row>
    <row r="840" spans="28:28" x14ac:dyDescent="0.25">
      <c r="AB840" s="8"/>
    </row>
    <row r="841" spans="28:28" x14ac:dyDescent="0.25">
      <c r="AB841" s="8"/>
    </row>
    <row r="842" spans="28:28" x14ac:dyDescent="0.25">
      <c r="AB842" s="8"/>
    </row>
    <row r="843" spans="28:28" x14ac:dyDescent="0.25">
      <c r="AB843" s="8"/>
    </row>
    <row r="844" spans="28:28" x14ac:dyDescent="0.25">
      <c r="AB844" s="8"/>
    </row>
    <row r="845" spans="28:28" x14ac:dyDescent="0.25">
      <c r="AB845" s="8"/>
    </row>
    <row r="846" spans="28:28" x14ac:dyDescent="0.25">
      <c r="AB846" s="8"/>
    </row>
    <row r="847" spans="28:28" x14ac:dyDescent="0.25">
      <c r="AB847" s="8"/>
    </row>
    <row r="848" spans="28:28" x14ac:dyDescent="0.25">
      <c r="AB848" s="8"/>
    </row>
    <row r="849" spans="28:28" x14ac:dyDescent="0.25">
      <c r="AB849" s="8"/>
    </row>
    <row r="850" spans="28:28" x14ac:dyDescent="0.25">
      <c r="AB850" s="8"/>
    </row>
    <row r="851" spans="28:28" x14ac:dyDescent="0.25">
      <c r="AB851" s="8"/>
    </row>
    <row r="852" spans="28:28" x14ac:dyDescent="0.25">
      <c r="AB852" s="8"/>
    </row>
    <row r="853" spans="28:28" x14ac:dyDescent="0.25">
      <c r="AB853" s="8"/>
    </row>
    <row r="854" spans="28:28" x14ac:dyDescent="0.25">
      <c r="AB854" s="8"/>
    </row>
    <row r="855" spans="28:28" x14ac:dyDescent="0.25">
      <c r="AB855" s="8"/>
    </row>
    <row r="856" spans="28:28" x14ac:dyDescent="0.25">
      <c r="AB856" s="8"/>
    </row>
    <row r="857" spans="28:28" x14ac:dyDescent="0.25">
      <c r="AB857" s="8"/>
    </row>
    <row r="858" spans="28:28" x14ac:dyDescent="0.25">
      <c r="AB858" s="8"/>
    </row>
    <row r="859" spans="28:28" x14ac:dyDescent="0.25">
      <c r="AB859" s="8"/>
    </row>
    <row r="860" spans="28:28" x14ac:dyDescent="0.25">
      <c r="AB860" s="8"/>
    </row>
    <row r="861" spans="28:28" x14ac:dyDescent="0.25">
      <c r="AB861" s="8"/>
    </row>
    <row r="862" spans="28:28" x14ac:dyDescent="0.25">
      <c r="AB862" s="8"/>
    </row>
    <row r="863" spans="28:28" x14ac:dyDescent="0.25">
      <c r="AB863" s="8"/>
    </row>
    <row r="864" spans="28:28" x14ac:dyDescent="0.25">
      <c r="AB864" s="8"/>
    </row>
    <row r="865" spans="28:28" x14ac:dyDescent="0.25">
      <c r="AB865" s="8"/>
    </row>
    <row r="866" spans="28:28" x14ac:dyDescent="0.25">
      <c r="AB866" s="8"/>
    </row>
    <row r="867" spans="28:28" x14ac:dyDescent="0.25">
      <c r="AB867" s="8"/>
    </row>
    <row r="868" spans="28:28" x14ac:dyDescent="0.25">
      <c r="AB868" s="8"/>
    </row>
    <row r="869" spans="28:28" x14ac:dyDescent="0.25">
      <c r="AB869" s="8"/>
    </row>
    <row r="870" spans="28:28" x14ac:dyDescent="0.25">
      <c r="AB870" s="8"/>
    </row>
    <row r="871" spans="28:28" x14ac:dyDescent="0.25">
      <c r="AB871" s="8"/>
    </row>
    <row r="872" spans="28:28" x14ac:dyDescent="0.25">
      <c r="AB872" s="8"/>
    </row>
    <row r="873" spans="28:28" x14ac:dyDescent="0.25">
      <c r="AB873" s="8"/>
    </row>
    <row r="874" spans="28:28" x14ac:dyDescent="0.25">
      <c r="AB874" s="8"/>
    </row>
    <row r="875" spans="28:28" x14ac:dyDescent="0.25">
      <c r="AB875" s="8"/>
    </row>
    <row r="876" spans="28:28" x14ac:dyDescent="0.25">
      <c r="AB876" s="8"/>
    </row>
    <row r="877" spans="28:28" x14ac:dyDescent="0.25">
      <c r="AB877" s="8"/>
    </row>
    <row r="878" spans="28:28" x14ac:dyDescent="0.25">
      <c r="AB878" s="8"/>
    </row>
    <row r="879" spans="28:28" x14ac:dyDescent="0.25">
      <c r="AB879" s="8"/>
    </row>
    <row r="880" spans="28:28" x14ac:dyDescent="0.25">
      <c r="AB880" s="8"/>
    </row>
    <row r="881" spans="28:28" x14ac:dyDescent="0.25">
      <c r="AB881" s="8"/>
    </row>
    <row r="882" spans="28:28" x14ac:dyDescent="0.25">
      <c r="AB882" s="8"/>
    </row>
    <row r="883" spans="28:28" x14ac:dyDescent="0.25">
      <c r="AB883" s="8"/>
    </row>
    <row r="884" spans="28:28" x14ac:dyDescent="0.25">
      <c r="AB884" s="8"/>
    </row>
    <row r="885" spans="28:28" x14ac:dyDescent="0.25">
      <c r="AB885" s="8"/>
    </row>
    <row r="886" spans="28:28" x14ac:dyDescent="0.25">
      <c r="AB886" s="8"/>
    </row>
    <row r="887" spans="28:28" x14ac:dyDescent="0.25">
      <c r="AB887" s="8"/>
    </row>
    <row r="888" spans="28:28" x14ac:dyDescent="0.25">
      <c r="AB888" s="8"/>
    </row>
    <row r="889" spans="28:28" x14ac:dyDescent="0.25">
      <c r="AB889" s="8"/>
    </row>
    <row r="890" spans="28:28" x14ac:dyDescent="0.25">
      <c r="AB890" s="8"/>
    </row>
    <row r="891" spans="28:28" x14ac:dyDescent="0.25">
      <c r="AB891" s="8"/>
    </row>
    <row r="892" spans="28:28" x14ac:dyDescent="0.25">
      <c r="AB892" s="8"/>
    </row>
    <row r="893" spans="28:28" x14ac:dyDescent="0.25">
      <c r="AB893" s="8"/>
    </row>
    <row r="894" spans="28:28" x14ac:dyDescent="0.25">
      <c r="AB894" s="8"/>
    </row>
    <row r="895" spans="28:28" x14ac:dyDescent="0.25">
      <c r="AB895" s="8"/>
    </row>
    <row r="896" spans="28:28" x14ac:dyDescent="0.25">
      <c r="AB896" s="8"/>
    </row>
    <row r="897" spans="28:28" x14ac:dyDescent="0.25">
      <c r="AB897" s="8"/>
    </row>
    <row r="898" spans="28:28" x14ac:dyDescent="0.25">
      <c r="AB898" s="8"/>
    </row>
    <row r="899" spans="28:28" x14ac:dyDescent="0.25">
      <c r="AB899" s="8"/>
    </row>
    <row r="900" spans="28:28" x14ac:dyDescent="0.25">
      <c r="AB900" s="8"/>
    </row>
    <row r="901" spans="28:28" x14ac:dyDescent="0.25">
      <c r="AB901" s="8"/>
    </row>
    <row r="902" spans="28:28" x14ac:dyDescent="0.25">
      <c r="AB902" s="8"/>
    </row>
    <row r="903" spans="28:28" x14ac:dyDescent="0.25">
      <c r="AB903" s="8"/>
    </row>
    <row r="904" spans="28:28" x14ac:dyDescent="0.25">
      <c r="AB904" s="8"/>
    </row>
    <row r="905" spans="28:28" x14ac:dyDescent="0.25">
      <c r="AB905" s="8"/>
    </row>
    <row r="906" spans="28:28" x14ac:dyDescent="0.25">
      <c r="AB906" s="8"/>
    </row>
    <row r="907" spans="28:28" x14ac:dyDescent="0.25">
      <c r="AB907" s="8"/>
    </row>
    <row r="908" spans="28:28" x14ac:dyDescent="0.25">
      <c r="AB908" s="8"/>
    </row>
    <row r="909" spans="28:28" x14ac:dyDescent="0.25">
      <c r="AB909" s="8"/>
    </row>
    <row r="910" spans="28:28" x14ac:dyDescent="0.25">
      <c r="AB910" s="8"/>
    </row>
    <row r="911" spans="28:28" x14ac:dyDescent="0.25">
      <c r="AB911" s="8"/>
    </row>
    <row r="912" spans="28:28" x14ac:dyDescent="0.25">
      <c r="AB912" s="8"/>
    </row>
    <row r="913" spans="28:28" x14ac:dyDescent="0.25">
      <c r="AB913" s="8"/>
    </row>
    <row r="914" spans="28:28" x14ac:dyDescent="0.25">
      <c r="AB914" s="8"/>
    </row>
    <row r="915" spans="28:28" x14ac:dyDescent="0.25">
      <c r="AB915" s="8"/>
    </row>
    <row r="916" spans="28:28" x14ac:dyDescent="0.25">
      <c r="AB916" s="8"/>
    </row>
    <row r="917" spans="28:28" x14ac:dyDescent="0.25">
      <c r="AB917" s="8"/>
    </row>
    <row r="918" spans="28:28" x14ac:dyDescent="0.25">
      <c r="AB918" s="8"/>
    </row>
    <row r="919" spans="28:28" x14ac:dyDescent="0.25">
      <c r="AB919" s="8"/>
    </row>
    <row r="920" spans="28:28" x14ac:dyDescent="0.25">
      <c r="AB920" s="8"/>
    </row>
    <row r="921" spans="28:28" x14ac:dyDescent="0.25">
      <c r="AB921" s="8"/>
    </row>
    <row r="922" spans="28:28" x14ac:dyDescent="0.25">
      <c r="AB922" s="8"/>
    </row>
    <row r="923" spans="28:28" x14ac:dyDescent="0.25">
      <c r="AB923" s="8"/>
    </row>
    <row r="924" spans="28:28" x14ac:dyDescent="0.25">
      <c r="AB924" s="8"/>
    </row>
    <row r="925" spans="28:28" x14ac:dyDescent="0.25">
      <c r="AB925" s="8"/>
    </row>
    <row r="926" spans="28:28" x14ac:dyDescent="0.25">
      <c r="AB926" s="8"/>
    </row>
    <row r="927" spans="28:28" x14ac:dyDescent="0.25">
      <c r="AB927" s="8"/>
    </row>
    <row r="928" spans="28:28" x14ac:dyDescent="0.25">
      <c r="AB928" s="8"/>
    </row>
    <row r="929" spans="28:28" x14ac:dyDescent="0.25">
      <c r="AB929" s="8"/>
    </row>
    <row r="930" spans="28:28" x14ac:dyDescent="0.25">
      <c r="AB930" s="8"/>
    </row>
    <row r="931" spans="28:28" x14ac:dyDescent="0.25">
      <c r="AB931" s="8"/>
    </row>
    <row r="932" spans="28:28" x14ac:dyDescent="0.25">
      <c r="AB932" s="8"/>
    </row>
    <row r="933" spans="28:28" x14ac:dyDescent="0.25">
      <c r="AB933" s="8"/>
    </row>
    <row r="934" spans="28:28" x14ac:dyDescent="0.25">
      <c r="AB934" s="8"/>
    </row>
    <row r="935" spans="28:28" x14ac:dyDescent="0.25">
      <c r="AB935" s="8"/>
    </row>
    <row r="936" spans="28:28" x14ac:dyDescent="0.25">
      <c r="AB936" s="8"/>
    </row>
    <row r="937" spans="28:28" x14ac:dyDescent="0.25">
      <c r="AB937" s="8"/>
    </row>
    <row r="938" spans="28:28" x14ac:dyDescent="0.25">
      <c r="AB938" s="8"/>
    </row>
    <row r="939" spans="28:28" x14ac:dyDescent="0.25">
      <c r="AB939" s="8"/>
    </row>
    <row r="940" spans="28:28" x14ac:dyDescent="0.25">
      <c r="AB940" s="8"/>
    </row>
    <row r="941" spans="28:28" x14ac:dyDescent="0.25">
      <c r="AB941" s="8"/>
    </row>
    <row r="942" spans="28:28" x14ac:dyDescent="0.25">
      <c r="AB942" s="8"/>
    </row>
    <row r="943" spans="28:28" x14ac:dyDescent="0.25">
      <c r="AB943" s="8"/>
    </row>
    <row r="944" spans="28:28" x14ac:dyDescent="0.25">
      <c r="AB944" s="8"/>
    </row>
    <row r="945" spans="28:28" x14ac:dyDescent="0.25">
      <c r="AB945" s="8"/>
    </row>
    <row r="946" spans="28:28" x14ac:dyDescent="0.25">
      <c r="AB946" s="8"/>
    </row>
    <row r="947" spans="28:28" x14ac:dyDescent="0.25">
      <c r="AB947" s="8"/>
    </row>
    <row r="948" spans="28:28" x14ac:dyDescent="0.25">
      <c r="AB948" s="8"/>
    </row>
    <row r="949" spans="28:28" x14ac:dyDescent="0.25">
      <c r="AB949" s="8"/>
    </row>
    <row r="950" spans="28:28" x14ac:dyDescent="0.25">
      <c r="AB950" s="8"/>
    </row>
    <row r="951" spans="28:28" x14ac:dyDescent="0.25">
      <c r="AB951" s="8"/>
    </row>
    <row r="952" spans="28:28" x14ac:dyDescent="0.25">
      <c r="AB952" s="8"/>
    </row>
    <row r="953" spans="28:28" x14ac:dyDescent="0.25">
      <c r="AB953" s="8"/>
    </row>
    <row r="954" spans="28:28" x14ac:dyDescent="0.25">
      <c r="AB954" s="8"/>
    </row>
    <row r="955" spans="28:28" x14ac:dyDescent="0.25">
      <c r="AB955" s="8"/>
    </row>
    <row r="956" spans="28:28" x14ac:dyDescent="0.25">
      <c r="AB956" s="8"/>
    </row>
    <row r="957" spans="28:28" x14ac:dyDescent="0.25">
      <c r="AB957" s="8"/>
    </row>
    <row r="958" spans="28:28" x14ac:dyDescent="0.25">
      <c r="AB958" s="8"/>
    </row>
    <row r="959" spans="28:28" x14ac:dyDescent="0.25">
      <c r="AB959" s="8"/>
    </row>
    <row r="960" spans="28:28" x14ac:dyDescent="0.25">
      <c r="AB960" s="8"/>
    </row>
    <row r="961" spans="28:28" x14ac:dyDescent="0.25">
      <c r="AB961" s="8"/>
    </row>
    <row r="962" spans="28:28" x14ac:dyDescent="0.25">
      <c r="AB962" s="8"/>
    </row>
    <row r="963" spans="28:28" x14ac:dyDescent="0.25">
      <c r="AB963" s="8"/>
    </row>
    <row r="964" spans="28:28" x14ac:dyDescent="0.25">
      <c r="AB964" s="8"/>
    </row>
    <row r="965" spans="28:28" x14ac:dyDescent="0.25">
      <c r="AB965" s="8"/>
    </row>
    <row r="966" spans="28:28" x14ac:dyDescent="0.25">
      <c r="AB966" s="8"/>
    </row>
    <row r="967" spans="28:28" x14ac:dyDescent="0.25">
      <c r="AB967" s="8"/>
    </row>
    <row r="968" spans="28:28" x14ac:dyDescent="0.25">
      <c r="AB968" s="8"/>
    </row>
    <row r="969" spans="28:28" x14ac:dyDescent="0.25">
      <c r="AB969" s="8"/>
    </row>
    <row r="970" spans="28:28" x14ac:dyDescent="0.25">
      <c r="AB970" s="8"/>
    </row>
    <row r="971" spans="28:28" x14ac:dyDescent="0.25">
      <c r="AB971" s="8"/>
    </row>
    <row r="972" spans="28:28" x14ac:dyDescent="0.25">
      <c r="AB972" s="8"/>
    </row>
    <row r="973" spans="28:28" x14ac:dyDescent="0.25">
      <c r="AB973" s="8"/>
    </row>
    <row r="974" spans="28:28" x14ac:dyDescent="0.25">
      <c r="AB974" s="8"/>
    </row>
    <row r="975" spans="28:28" x14ac:dyDescent="0.25">
      <c r="AB975" s="8"/>
    </row>
    <row r="976" spans="28:28" x14ac:dyDescent="0.25">
      <c r="AB976" s="8"/>
    </row>
    <row r="977" spans="28:28" x14ac:dyDescent="0.25">
      <c r="AB977" s="8"/>
    </row>
    <row r="978" spans="28:28" x14ac:dyDescent="0.25">
      <c r="AB978" s="8"/>
    </row>
    <row r="979" spans="28:28" x14ac:dyDescent="0.25">
      <c r="AB979" s="8"/>
    </row>
    <row r="980" spans="28:28" x14ac:dyDescent="0.25">
      <c r="AB980" s="8"/>
    </row>
    <row r="981" spans="28:28" x14ac:dyDescent="0.25">
      <c r="AB981" s="8"/>
    </row>
    <row r="982" spans="28:28" x14ac:dyDescent="0.25">
      <c r="AB982" s="8"/>
    </row>
    <row r="983" spans="28:28" x14ac:dyDescent="0.25">
      <c r="AB983" s="8"/>
    </row>
    <row r="984" spans="28:28" x14ac:dyDescent="0.25">
      <c r="AB984" s="8"/>
    </row>
    <row r="985" spans="28:28" x14ac:dyDescent="0.25">
      <c r="AB985" s="8"/>
    </row>
    <row r="986" spans="28:28" x14ac:dyDescent="0.25">
      <c r="AB986" s="8"/>
    </row>
    <row r="987" spans="28:28" x14ac:dyDescent="0.25">
      <c r="AB987" s="8"/>
    </row>
    <row r="988" spans="28:28" x14ac:dyDescent="0.25">
      <c r="AB988" s="8"/>
    </row>
    <row r="989" spans="28:28" x14ac:dyDescent="0.25">
      <c r="AB989" s="8"/>
    </row>
    <row r="990" spans="28:28" x14ac:dyDescent="0.25">
      <c r="AB990" s="8"/>
    </row>
    <row r="991" spans="28:28" x14ac:dyDescent="0.25">
      <c r="AB991" s="8"/>
    </row>
    <row r="992" spans="28:28" x14ac:dyDescent="0.25">
      <c r="AB992" s="8"/>
    </row>
    <row r="993" spans="28:28" x14ac:dyDescent="0.25">
      <c r="AB993" s="8"/>
    </row>
    <row r="994" spans="28:28" x14ac:dyDescent="0.25">
      <c r="AB994" s="8"/>
    </row>
    <row r="995" spans="28:28" x14ac:dyDescent="0.25">
      <c r="AB995" s="8"/>
    </row>
    <row r="996" spans="28:28" x14ac:dyDescent="0.25">
      <c r="AB996" s="8"/>
    </row>
    <row r="997" spans="28:28" x14ac:dyDescent="0.25">
      <c r="AB997" s="8"/>
    </row>
    <row r="998" spans="28:28" x14ac:dyDescent="0.25">
      <c r="AB998" s="8"/>
    </row>
    <row r="999" spans="28:28" x14ac:dyDescent="0.25">
      <c r="AB999" s="8"/>
    </row>
    <row r="1000" spans="28:28" x14ac:dyDescent="0.25">
      <c r="AB1000" s="8"/>
    </row>
    <row r="1001" spans="28:28" x14ac:dyDescent="0.25">
      <c r="AB1001" s="8"/>
    </row>
    <row r="1002" spans="28:28" x14ac:dyDescent="0.25">
      <c r="AB1002" s="8"/>
    </row>
    <row r="1003" spans="28:28" x14ac:dyDescent="0.25">
      <c r="AB1003" s="8"/>
    </row>
    <row r="1004" spans="28:28" x14ac:dyDescent="0.25">
      <c r="AB1004" s="8"/>
    </row>
    <row r="1005" spans="28:28" x14ac:dyDescent="0.25">
      <c r="AB1005" s="8"/>
    </row>
    <row r="1006" spans="28:28" x14ac:dyDescent="0.25">
      <c r="AB1006" s="8"/>
    </row>
    <row r="1007" spans="28:28" x14ac:dyDescent="0.25">
      <c r="AB1007" s="8"/>
    </row>
    <row r="1008" spans="28:28" x14ac:dyDescent="0.25">
      <c r="AB1008" s="8"/>
    </row>
    <row r="1009" spans="28:28" x14ac:dyDescent="0.25">
      <c r="AB1009" s="8"/>
    </row>
    <row r="1010" spans="28:28" x14ac:dyDescent="0.25">
      <c r="AB1010" s="8"/>
    </row>
    <row r="1011" spans="28:28" x14ac:dyDescent="0.25">
      <c r="AB1011" s="8"/>
    </row>
    <row r="1012" spans="28:28" x14ac:dyDescent="0.25">
      <c r="AB1012" s="8"/>
    </row>
    <row r="1013" spans="28:28" x14ac:dyDescent="0.25">
      <c r="AB1013" s="8"/>
    </row>
    <row r="1014" spans="28:28" x14ac:dyDescent="0.25">
      <c r="AB1014" s="8"/>
    </row>
    <row r="1015" spans="28:28" x14ac:dyDescent="0.25">
      <c r="AB1015" s="8"/>
    </row>
    <row r="1016" spans="28:28" x14ac:dyDescent="0.25">
      <c r="AB1016" s="8"/>
    </row>
    <row r="1017" spans="28:28" x14ac:dyDescent="0.25">
      <c r="AB1017" s="8"/>
    </row>
    <row r="1018" spans="28:28" x14ac:dyDescent="0.25">
      <c r="AB1018" s="8"/>
    </row>
    <row r="1019" spans="28:28" x14ac:dyDescent="0.25">
      <c r="AB1019" s="8"/>
    </row>
    <row r="1020" spans="28:28" x14ac:dyDescent="0.25">
      <c r="AB1020" s="8"/>
    </row>
    <row r="1021" spans="28:28" x14ac:dyDescent="0.25">
      <c r="AB1021" s="8"/>
    </row>
    <row r="1022" spans="28:28" x14ac:dyDescent="0.25">
      <c r="AB1022" s="8"/>
    </row>
    <row r="1023" spans="28:28" x14ac:dyDescent="0.25">
      <c r="AB1023" s="8"/>
    </row>
    <row r="1024" spans="28:28" x14ac:dyDescent="0.25">
      <c r="AB1024" s="8"/>
    </row>
    <row r="1025" spans="28:28" x14ac:dyDescent="0.25">
      <c r="AB1025" s="8"/>
    </row>
    <row r="1026" spans="28:28" x14ac:dyDescent="0.25">
      <c r="AB1026" s="8"/>
    </row>
    <row r="1027" spans="28:28" x14ac:dyDescent="0.25">
      <c r="AB1027" s="8"/>
    </row>
    <row r="1028" spans="28:28" x14ac:dyDescent="0.25">
      <c r="AB1028" s="8"/>
    </row>
    <row r="1029" spans="28:28" x14ac:dyDescent="0.25">
      <c r="AB1029" s="8"/>
    </row>
    <row r="1030" spans="28:28" x14ac:dyDescent="0.25">
      <c r="AB1030" s="8"/>
    </row>
    <row r="1031" spans="28:28" x14ac:dyDescent="0.25">
      <c r="AB1031" s="8"/>
    </row>
    <row r="1032" spans="28:28" x14ac:dyDescent="0.25">
      <c r="AB1032" s="8"/>
    </row>
    <row r="1033" spans="28:28" x14ac:dyDescent="0.25">
      <c r="AB1033" s="8"/>
    </row>
    <row r="1034" spans="28:28" x14ac:dyDescent="0.25">
      <c r="AB1034" s="8"/>
    </row>
    <row r="1035" spans="28:28" x14ac:dyDescent="0.25">
      <c r="AB1035" s="8"/>
    </row>
    <row r="1036" spans="28:28" x14ac:dyDescent="0.25">
      <c r="AB1036" s="8"/>
    </row>
    <row r="1037" spans="28:28" x14ac:dyDescent="0.25">
      <c r="AB1037" s="8"/>
    </row>
    <row r="1038" spans="28:28" x14ac:dyDescent="0.25">
      <c r="AB1038" s="8"/>
    </row>
    <row r="1039" spans="28:28" x14ac:dyDescent="0.25">
      <c r="AB1039" s="8"/>
    </row>
    <row r="1040" spans="28:28" x14ac:dyDescent="0.25">
      <c r="AB1040" s="8"/>
    </row>
    <row r="1041" spans="28:28" x14ac:dyDescent="0.25">
      <c r="AB1041" s="8"/>
    </row>
    <row r="1042" spans="28:28" x14ac:dyDescent="0.25">
      <c r="AB1042" s="8"/>
    </row>
    <row r="1043" spans="28:28" x14ac:dyDescent="0.25">
      <c r="AB1043" s="8"/>
    </row>
    <row r="1044" spans="28:28" x14ac:dyDescent="0.25">
      <c r="AB1044" s="8"/>
    </row>
    <row r="1045" spans="28:28" x14ac:dyDescent="0.25">
      <c r="AB1045" s="8"/>
    </row>
    <row r="1046" spans="28:28" x14ac:dyDescent="0.25">
      <c r="AB1046" s="8"/>
    </row>
    <row r="1047" spans="28:28" x14ac:dyDescent="0.25">
      <c r="AB1047" s="8"/>
    </row>
    <row r="1048" spans="28:28" x14ac:dyDescent="0.25">
      <c r="AB1048" s="8"/>
    </row>
    <row r="1049" spans="28:28" x14ac:dyDescent="0.25">
      <c r="AB1049" s="8"/>
    </row>
    <row r="1050" spans="28:28" x14ac:dyDescent="0.25">
      <c r="AB1050" s="8"/>
    </row>
    <row r="1051" spans="28:28" x14ac:dyDescent="0.25">
      <c r="AB1051" s="8"/>
    </row>
    <row r="1052" spans="28:28" x14ac:dyDescent="0.25">
      <c r="AB1052" s="8"/>
    </row>
    <row r="1053" spans="28:28" x14ac:dyDescent="0.25">
      <c r="AB1053" s="8"/>
    </row>
    <row r="1054" spans="28:28" x14ac:dyDescent="0.25">
      <c r="AB1054" s="8"/>
    </row>
    <row r="1055" spans="28:28" x14ac:dyDescent="0.25">
      <c r="AB1055" s="8"/>
    </row>
    <row r="1056" spans="28:28" x14ac:dyDescent="0.25">
      <c r="AB1056" s="8"/>
    </row>
    <row r="1057" spans="28:28" x14ac:dyDescent="0.25">
      <c r="AB1057" s="8"/>
    </row>
    <row r="1058" spans="28:28" x14ac:dyDescent="0.25">
      <c r="AB1058" s="8"/>
    </row>
    <row r="1059" spans="28:28" x14ac:dyDescent="0.25">
      <c r="AB1059" s="8"/>
    </row>
    <row r="1060" spans="28:28" x14ac:dyDescent="0.25">
      <c r="AB1060" s="8"/>
    </row>
    <row r="1061" spans="28:28" x14ac:dyDescent="0.25">
      <c r="AB1061" s="8"/>
    </row>
    <row r="1062" spans="28:28" x14ac:dyDescent="0.25">
      <c r="AB1062" s="8"/>
    </row>
    <row r="1063" spans="28:28" x14ac:dyDescent="0.25">
      <c r="AB1063" s="8"/>
    </row>
    <row r="1064" spans="28:28" x14ac:dyDescent="0.25">
      <c r="AB1064" s="8"/>
    </row>
    <row r="1065" spans="28:28" x14ac:dyDescent="0.25">
      <c r="AB1065" s="8"/>
    </row>
    <row r="1066" spans="28:28" x14ac:dyDescent="0.25">
      <c r="AB1066" s="8"/>
    </row>
    <row r="1067" spans="28:28" x14ac:dyDescent="0.25">
      <c r="AB1067" s="8"/>
    </row>
    <row r="1068" spans="28:28" x14ac:dyDescent="0.25">
      <c r="AB1068" s="8"/>
    </row>
    <row r="1069" spans="28:28" x14ac:dyDescent="0.25">
      <c r="AB1069" s="8"/>
    </row>
    <row r="1070" spans="28:28" x14ac:dyDescent="0.25">
      <c r="AB1070" s="8"/>
    </row>
    <row r="1071" spans="28:28" x14ac:dyDescent="0.25">
      <c r="AB1071" s="8"/>
    </row>
    <row r="1072" spans="28:28" x14ac:dyDescent="0.25">
      <c r="AB1072" s="8"/>
    </row>
    <row r="1073" spans="28:28" x14ac:dyDescent="0.25">
      <c r="AB1073" s="8"/>
    </row>
    <row r="1074" spans="28:28" x14ac:dyDescent="0.25">
      <c r="AB1074" s="8"/>
    </row>
    <row r="1075" spans="28:28" x14ac:dyDescent="0.25">
      <c r="AB1075" s="8"/>
    </row>
    <row r="1076" spans="28:28" x14ac:dyDescent="0.25">
      <c r="AB1076" s="8"/>
    </row>
    <row r="1077" spans="28:28" x14ac:dyDescent="0.25">
      <c r="AB1077" s="8"/>
    </row>
    <row r="1078" spans="28:28" x14ac:dyDescent="0.25">
      <c r="AB1078" s="8"/>
    </row>
    <row r="1079" spans="28:28" x14ac:dyDescent="0.25">
      <c r="AB1079" s="8"/>
    </row>
    <row r="1080" spans="28:28" x14ac:dyDescent="0.25">
      <c r="AB1080" s="8"/>
    </row>
    <row r="1081" spans="28:28" x14ac:dyDescent="0.25">
      <c r="AB1081" s="8"/>
    </row>
    <row r="1082" spans="28:28" x14ac:dyDescent="0.25">
      <c r="AB1082" s="8"/>
    </row>
    <row r="1083" spans="28:28" x14ac:dyDescent="0.25">
      <c r="AB1083" s="8"/>
    </row>
    <row r="1084" spans="28:28" x14ac:dyDescent="0.25">
      <c r="AB1084" s="8"/>
    </row>
    <row r="1085" spans="28:28" x14ac:dyDescent="0.25">
      <c r="AB1085" s="8"/>
    </row>
    <row r="1086" spans="28:28" x14ac:dyDescent="0.25">
      <c r="AB1086" s="8"/>
    </row>
    <row r="1087" spans="28:28" x14ac:dyDescent="0.25">
      <c r="AB1087" s="8"/>
    </row>
    <row r="1088" spans="28:28" x14ac:dyDescent="0.25">
      <c r="AB1088" s="8"/>
    </row>
    <row r="1089" spans="28:28" x14ac:dyDescent="0.25">
      <c r="AB1089" s="8"/>
    </row>
    <row r="1090" spans="28:28" x14ac:dyDescent="0.25">
      <c r="AB1090" s="8"/>
    </row>
    <row r="1091" spans="28:28" x14ac:dyDescent="0.25">
      <c r="AB1091" s="8"/>
    </row>
    <row r="1092" spans="28:28" x14ac:dyDescent="0.25">
      <c r="AB1092" s="8"/>
    </row>
    <row r="1093" spans="28:28" x14ac:dyDescent="0.25">
      <c r="AB1093" s="8"/>
    </row>
    <row r="1094" spans="28:28" x14ac:dyDescent="0.25">
      <c r="AB1094" s="8"/>
    </row>
    <row r="1095" spans="28:28" x14ac:dyDescent="0.25">
      <c r="AB1095" s="8"/>
    </row>
    <row r="1096" spans="28:28" x14ac:dyDescent="0.25">
      <c r="AB1096" s="8"/>
    </row>
    <row r="1097" spans="28:28" x14ac:dyDescent="0.25">
      <c r="AB1097" s="8"/>
    </row>
    <row r="1098" spans="28:28" x14ac:dyDescent="0.25">
      <c r="AB1098" s="8"/>
    </row>
    <row r="1099" spans="28:28" x14ac:dyDescent="0.25">
      <c r="AB1099" s="8"/>
    </row>
    <row r="1100" spans="28:28" x14ac:dyDescent="0.25">
      <c r="AB1100" s="8"/>
    </row>
    <row r="1101" spans="28:28" x14ac:dyDescent="0.25">
      <c r="AB1101" s="8"/>
    </row>
    <row r="1102" spans="28:28" x14ac:dyDescent="0.25">
      <c r="AB1102" s="8"/>
    </row>
    <row r="1103" spans="28:28" x14ac:dyDescent="0.25">
      <c r="AB1103" s="8"/>
    </row>
    <row r="1104" spans="28:28" x14ac:dyDescent="0.25">
      <c r="AB1104" s="8"/>
    </row>
    <row r="1105" spans="28:28" x14ac:dyDescent="0.25">
      <c r="AB1105" s="8"/>
    </row>
    <row r="1106" spans="28:28" x14ac:dyDescent="0.25">
      <c r="AB1106" s="8"/>
    </row>
    <row r="1107" spans="28:28" x14ac:dyDescent="0.25">
      <c r="AB1107" s="8"/>
    </row>
    <row r="1108" spans="28:28" x14ac:dyDescent="0.25">
      <c r="AB1108" s="8"/>
    </row>
    <row r="1109" spans="28:28" x14ac:dyDescent="0.25">
      <c r="AB1109" s="8"/>
    </row>
    <row r="1110" spans="28:28" x14ac:dyDescent="0.25">
      <c r="AB1110" s="8"/>
    </row>
    <row r="1111" spans="28:28" x14ac:dyDescent="0.25">
      <c r="AB1111" s="8"/>
    </row>
    <row r="1112" spans="28:28" x14ac:dyDescent="0.25">
      <c r="AB1112" s="8"/>
    </row>
    <row r="1113" spans="28:28" x14ac:dyDescent="0.25">
      <c r="AB1113" s="8"/>
    </row>
    <row r="1114" spans="28:28" x14ac:dyDescent="0.25">
      <c r="AB1114" s="8"/>
    </row>
    <row r="1115" spans="28:28" x14ac:dyDescent="0.25">
      <c r="AB1115" s="8"/>
    </row>
    <row r="1116" spans="28:28" x14ac:dyDescent="0.25">
      <c r="AB1116" s="8"/>
    </row>
    <row r="1117" spans="28:28" x14ac:dyDescent="0.25">
      <c r="AB1117" s="8"/>
    </row>
    <row r="1118" spans="28:28" x14ac:dyDescent="0.25">
      <c r="AB1118" s="8"/>
    </row>
    <row r="1119" spans="28:28" x14ac:dyDescent="0.25">
      <c r="AB1119" s="8"/>
    </row>
    <row r="1120" spans="28:28" x14ac:dyDescent="0.25">
      <c r="AB1120" s="8"/>
    </row>
    <row r="1121" spans="28:28" x14ac:dyDescent="0.25">
      <c r="AB1121" s="8"/>
    </row>
    <row r="1122" spans="28:28" x14ac:dyDescent="0.25">
      <c r="AB1122" s="8"/>
    </row>
    <row r="1123" spans="28:28" x14ac:dyDescent="0.25">
      <c r="AB1123" s="8"/>
    </row>
    <row r="1124" spans="28:28" x14ac:dyDescent="0.25">
      <c r="AB1124" s="8"/>
    </row>
    <row r="1125" spans="28:28" x14ac:dyDescent="0.25">
      <c r="AB1125" s="8"/>
    </row>
    <row r="1126" spans="28:28" x14ac:dyDescent="0.25">
      <c r="AB1126" s="8"/>
    </row>
    <row r="1127" spans="28:28" x14ac:dyDescent="0.25">
      <c r="AB1127" s="8"/>
    </row>
    <row r="1128" spans="28:28" x14ac:dyDescent="0.25">
      <c r="AB1128" s="8"/>
    </row>
    <row r="1129" spans="28:28" x14ac:dyDescent="0.25">
      <c r="AB1129" s="8"/>
    </row>
    <row r="1130" spans="28:28" x14ac:dyDescent="0.25">
      <c r="AB1130" s="8"/>
    </row>
    <row r="1131" spans="28:28" x14ac:dyDescent="0.25">
      <c r="AB1131" s="8"/>
    </row>
    <row r="1132" spans="28:28" x14ac:dyDescent="0.25">
      <c r="AB1132" s="8"/>
    </row>
    <row r="1133" spans="28:28" x14ac:dyDescent="0.25">
      <c r="AB1133" s="8"/>
    </row>
    <row r="1134" spans="28:28" x14ac:dyDescent="0.25">
      <c r="AB1134" s="8"/>
    </row>
    <row r="1135" spans="28:28" x14ac:dyDescent="0.25">
      <c r="AB1135" s="8"/>
    </row>
    <row r="1136" spans="28:28" x14ac:dyDescent="0.25">
      <c r="AB1136" s="8"/>
    </row>
    <row r="1137" spans="28:28" x14ac:dyDescent="0.25">
      <c r="AB1137" s="8"/>
    </row>
    <row r="1138" spans="28:28" x14ac:dyDescent="0.25">
      <c r="AB1138" s="8"/>
    </row>
    <row r="1139" spans="28:28" x14ac:dyDescent="0.25">
      <c r="AB1139" s="8"/>
    </row>
    <row r="1140" spans="28:28" x14ac:dyDescent="0.25">
      <c r="AB1140" s="8"/>
    </row>
    <row r="1141" spans="28:28" x14ac:dyDescent="0.25">
      <c r="AB1141" s="8"/>
    </row>
    <row r="1142" spans="28:28" x14ac:dyDescent="0.25">
      <c r="AB1142" s="8"/>
    </row>
    <row r="1143" spans="28:28" x14ac:dyDescent="0.25">
      <c r="AB1143" s="8"/>
    </row>
    <row r="1144" spans="28:28" x14ac:dyDescent="0.25">
      <c r="AB1144" s="8"/>
    </row>
    <row r="1145" spans="28:28" x14ac:dyDescent="0.25">
      <c r="AB1145" s="8"/>
    </row>
    <row r="1146" spans="28:28" x14ac:dyDescent="0.25">
      <c r="AB1146" s="8"/>
    </row>
    <row r="1147" spans="28:28" x14ac:dyDescent="0.25">
      <c r="AB1147" s="8"/>
    </row>
    <row r="1148" spans="28:28" x14ac:dyDescent="0.25">
      <c r="AB1148" s="8"/>
    </row>
    <row r="1149" spans="28:28" x14ac:dyDescent="0.25">
      <c r="AB1149" s="8"/>
    </row>
    <row r="1150" spans="28:28" x14ac:dyDescent="0.25">
      <c r="AB1150" s="8"/>
    </row>
    <row r="1151" spans="28:28" x14ac:dyDescent="0.25">
      <c r="AB1151" s="8"/>
    </row>
    <row r="1152" spans="28:28" x14ac:dyDescent="0.25">
      <c r="AB1152" s="8"/>
    </row>
    <row r="1153" spans="28:28" x14ac:dyDescent="0.25">
      <c r="AB1153" s="8"/>
    </row>
    <row r="1154" spans="28:28" x14ac:dyDescent="0.25">
      <c r="AB1154" s="8"/>
    </row>
    <row r="1155" spans="28:28" x14ac:dyDescent="0.25">
      <c r="AB1155" s="8"/>
    </row>
    <row r="1156" spans="28:28" x14ac:dyDescent="0.25">
      <c r="AB1156" s="8"/>
    </row>
    <row r="1157" spans="28:28" x14ac:dyDescent="0.25">
      <c r="AB1157" s="8"/>
    </row>
    <row r="1158" spans="28:28" x14ac:dyDescent="0.25">
      <c r="AB1158" s="8"/>
    </row>
    <row r="1159" spans="28:28" x14ac:dyDescent="0.25">
      <c r="AB1159" s="8"/>
    </row>
    <row r="1160" spans="28:28" x14ac:dyDescent="0.25">
      <c r="AB1160" s="8"/>
    </row>
    <row r="1161" spans="28:28" x14ac:dyDescent="0.25">
      <c r="AB1161" s="8"/>
    </row>
    <row r="1162" spans="28:28" x14ac:dyDescent="0.25">
      <c r="AB1162" s="8"/>
    </row>
    <row r="1163" spans="28:28" x14ac:dyDescent="0.25">
      <c r="AB1163" s="8"/>
    </row>
    <row r="1164" spans="28:28" x14ac:dyDescent="0.25">
      <c r="AB1164" s="8"/>
    </row>
    <row r="1165" spans="28:28" x14ac:dyDescent="0.25">
      <c r="AB1165" s="8"/>
    </row>
    <row r="1166" spans="28:28" x14ac:dyDescent="0.25">
      <c r="AB1166" s="8"/>
    </row>
    <row r="1167" spans="28:28" x14ac:dyDescent="0.25">
      <c r="AB1167" s="8"/>
    </row>
    <row r="1168" spans="28:28" x14ac:dyDescent="0.25">
      <c r="AB1168" s="8"/>
    </row>
    <row r="1169" spans="28:28" x14ac:dyDescent="0.25">
      <c r="AB1169" s="8"/>
    </row>
    <row r="1170" spans="28:28" x14ac:dyDescent="0.25">
      <c r="AB1170" s="8"/>
    </row>
    <row r="1171" spans="28:28" x14ac:dyDescent="0.25">
      <c r="AB1171" s="8"/>
    </row>
    <row r="1172" spans="28:28" x14ac:dyDescent="0.25">
      <c r="AB1172" s="8"/>
    </row>
    <row r="1173" spans="28:28" x14ac:dyDescent="0.25">
      <c r="AB1173" s="8"/>
    </row>
    <row r="1174" spans="28:28" x14ac:dyDescent="0.25">
      <c r="AB1174" s="8"/>
    </row>
    <row r="1175" spans="28:28" x14ac:dyDescent="0.25">
      <c r="AB1175" s="8"/>
    </row>
    <row r="1176" spans="28:28" x14ac:dyDescent="0.25">
      <c r="AB1176" s="8"/>
    </row>
    <row r="1177" spans="28:28" x14ac:dyDescent="0.25">
      <c r="AB1177" s="8"/>
    </row>
    <row r="1178" spans="28:28" x14ac:dyDescent="0.25">
      <c r="AB1178" s="8"/>
    </row>
    <row r="1179" spans="28:28" x14ac:dyDescent="0.25">
      <c r="AB1179" s="8"/>
    </row>
    <row r="1180" spans="28:28" x14ac:dyDescent="0.25">
      <c r="AB1180" s="8"/>
    </row>
    <row r="1181" spans="28:28" x14ac:dyDescent="0.25">
      <c r="AB1181" s="8"/>
    </row>
    <row r="1182" spans="28:28" x14ac:dyDescent="0.25">
      <c r="AB1182" s="8"/>
    </row>
    <row r="1183" spans="28:28" x14ac:dyDescent="0.25">
      <c r="AB1183" s="8"/>
    </row>
    <row r="1184" spans="28:28" x14ac:dyDescent="0.25">
      <c r="AB1184" s="8"/>
    </row>
    <row r="1185" spans="28:28" x14ac:dyDescent="0.25">
      <c r="AB1185" s="8"/>
    </row>
    <row r="1186" spans="28:28" x14ac:dyDescent="0.25">
      <c r="AB1186" s="8"/>
    </row>
    <row r="1187" spans="28:28" x14ac:dyDescent="0.25">
      <c r="AB1187" s="8"/>
    </row>
    <row r="1188" spans="28:28" x14ac:dyDescent="0.25">
      <c r="AB1188" s="8"/>
    </row>
    <row r="1189" spans="28:28" x14ac:dyDescent="0.25">
      <c r="AB1189" s="8"/>
    </row>
    <row r="1190" spans="28:28" x14ac:dyDescent="0.25">
      <c r="AB1190" s="8"/>
    </row>
    <row r="1191" spans="28:28" x14ac:dyDescent="0.25">
      <c r="AB1191" s="8"/>
    </row>
    <row r="1192" spans="28:28" x14ac:dyDescent="0.25">
      <c r="AB1192" s="8"/>
    </row>
    <row r="1193" spans="28:28" x14ac:dyDescent="0.25">
      <c r="AB1193" s="8"/>
    </row>
    <row r="1194" spans="28:28" x14ac:dyDescent="0.25">
      <c r="AB1194" s="8"/>
    </row>
    <row r="1195" spans="28:28" x14ac:dyDescent="0.25">
      <c r="AB1195" s="8"/>
    </row>
    <row r="1196" spans="28:28" x14ac:dyDescent="0.25">
      <c r="AB1196" s="8"/>
    </row>
    <row r="1197" spans="28:28" x14ac:dyDescent="0.25">
      <c r="AB1197" s="8"/>
    </row>
    <row r="1198" spans="28:28" x14ac:dyDescent="0.25">
      <c r="AB1198" s="8"/>
    </row>
    <row r="1199" spans="28:28" x14ac:dyDescent="0.25">
      <c r="AB1199" s="8"/>
    </row>
    <row r="1200" spans="28:28" x14ac:dyDescent="0.25">
      <c r="AB1200" s="8"/>
    </row>
    <row r="1201" spans="28:28" x14ac:dyDescent="0.25">
      <c r="AB1201" s="8"/>
    </row>
    <row r="1202" spans="28:28" x14ac:dyDescent="0.25">
      <c r="AB1202" s="8"/>
    </row>
    <row r="1203" spans="28:28" x14ac:dyDescent="0.25">
      <c r="AB1203" s="8"/>
    </row>
    <row r="1204" spans="28:28" x14ac:dyDescent="0.25">
      <c r="AB1204" s="8"/>
    </row>
    <row r="1205" spans="28:28" x14ac:dyDescent="0.25">
      <c r="AB1205" s="8"/>
    </row>
    <row r="1206" spans="28:28" x14ac:dyDescent="0.25">
      <c r="AB1206" s="8"/>
    </row>
    <row r="1207" spans="28:28" x14ac:dyDescent="0.25">
      <c r="AB1207" s="8"/>
    </row>
    <row r="1208" spans="28:28" x14ac:dyDescent="0.25">
      <c r="AB1208" s="8"/>
    </row>
    <row r="1209" spans="28:28" x14ac:dyDescent="0.25">
      <c r="AB1209" s="8"/>
    </row>
    <row r="1210" spans="28:28" x14ac:dyDescent="0.25">
      <c r="AB1210" s="8"/>
    </row>
    <row r="1211" spans="28:28" x14ac:dyDescent="0.25">
      <c r="AB1211" s="8"/>
    </row>
    <row r="1212" spans="28:28" x14ac:dyDescent="0.25">
      <c r="AB1212" s="8"/>
    </row>
    <row r="1213" spans="28:28" x14ac:dyDescent="0.25">
      <c r="AB1213" s="8"/>
    </row>
    <row r="1214" spans="28:28" x14ac:dyDescent="0.25">
      <c r="AB1214" s="8"/>
    </row>
    <row r="1215" spans="28:28" x14ac:dyDescent="0.25">
      <c r="AB1215" s="8"/>
    </row>
    <row r="1216" spans="28:28" x14ac:dyDescent="0.25">
      <c r="AB1216" s="8"/>
    </row>
    <row r="1217" spans="28:28" x14ac:dyDescent="0.25">
      <c r="AB1217" s="8"/>
    </row>
    <row r="1218" spans="28:28" x14ac:dyDescent="0.25">
      <c r="AB1218" s="8"/>
    </row>
    <row r="1219" spans="28:28" x14ac:dyDescent="0.25">
      <c r="AB1219" s="8"/>
    </row>
    <row r="1220" spans="28:28" x14ac:dyDescent="0.25">
      <c r="AB1220" s="8"/>
    </row>
    <row r="1221" spans="28:28" x14ac:dyDescent="0.25">
      <c r="AB1221" s="8"/>
    </row>
    <row r="1222" spans="28:28" x14ac:dyDescent="0.25">
      <c r="AB1222" s="8"/>
    </row>
    <row r="1223" spans="28:28" x14ac:dyDescent="0.25">
      <c r="AB1223" s="8"/>
    </row>
    <row r="1224" spans="28:28" x14ac:dyDescent="0.25">
      <c r="AB1224" s="8"/>
    </row>
    <row r="1225" spans="28:28" x14ac:dyDescent="0.25">
      <c r="AB1225" s="8"/>
    </row>
    <row r="1226" spans="28:28" x14ac:dyDescent="0.25">
      <c r="AB1226" s="8"/>
    </row>
    <row r="1227" spans="28:28" x14ac:dyDescent="0.25">
      <c r="AB1227" s="8"/>
    </row>
    <row r="1228" spans="28:28" x14ac:dyDescent="0.25">
      <c r="AB1228" s="8"/>
    </row>
    <row r="1229" spans="28:28" x14ac:dyDescent="0.25">
      <c r="AB1229" s="8"/>
    </row>
    <row r="1230" spans="28:28" x14ac:dyDescent="0.25">
      <c r="AB1230" s="8"/>
    </row>
    <row r="1231" spans="28:28" x14ac:dyDescent="0.25">
      <c r="AB1231" s="8"/>
    </row>
    <row r="1232" spans="28:28" x14ac:dyDescent="0.25">
      <c r="AB1232" s="8"/>
    </row>
    <row r="1233" spans="28:28" x14ac:dyDescent="0.25">
      <c r="AB1233" s="8"/>
    </row>
    <row r="1234" spans="28:28" x14ac:dyDescent="0.25">
      <c r="AB1234" s="8"/>
    </row>
    <row r="1235" spans="28:28" x14ac:dyDescent="0.25">
      <c r="AB1235" s="8"/>
    </row>
    <row r="1236" spans="28:28" x14ac:dyDescent="0.25">
      <c r="AB1236" s="8"/>
    </row>
    <row r="1237" spans="28:28" x14ac:dyDescent="0.25">
      <c r="AB1237" s="8"/>
    </row>
    <row r="1238" spans="28:28" x14ac:dyDescent="0.25">
      <c r="AB1238" s="8"/>
    </row>
    <row r="1239" spans="28:28" x14ac:dyDescent="0.25">
      <c r="AB1239" s="8"/>
    </row>
    <row r="1240" spans="28:28" x14ac:dyDescent="0.25">
      <c r="AB1240" s="8"/>
    </row>
    <row r="1241" spans="28:28" x14ac:dyDescent="0.25">
      <c r="AB1241" s="8"/>
    </row>
    <row r="1242" spans="28:28" x14ac:dyDescent="0.25">
      <c r="AB1242" s="8"/>
    </row>
    <row r="1243" spans="28:28" x14ac:dyDescent="0.25">
      <c r="AB1243" s="8"/>
    </row>
    <row r="1244" spans="28:28" x14ac:dyDescent="0.25">
      <c r="AB1244" s="8"/>
    </row>
    <row r="1245" spans="28:28" x14ac:dyDescent="0.25">
      <c r="AB1245" s="8"/>
    </row>
    <row r="1246" spans="28:28" x14ac:dyDescent="0.25">
      <c r="AB1246" s="8"/>
    </row>
    <row r="1247" spans="28:28" x14ac:dyDescent="0.25">
      <c r="AB1247" s="8"/>
    </row>
    <row r="1248" spans="28:28" x14ac:dyDescent="0.25">
      <c r="AB1248" s="8"/>
    </row>
    <row r="1249" spans="28:28" x14ac:dyDescent="0.25">
      <c r="AB1249" s="8"/>
    </row>
    <row r="1250" spans="28:28" x14ac:dyDescent="0.25">
      <c r="AB1250" s="8"/>
    </row>
    <row r="1251" spans="28:28" x14ac:dyDescent="0.25">
      <c r="AB1251" s="8"/>
    </row>
    <row r="1252" spans="28:28" x14ac:dyDescent="0.25">
      <c r="AB1252" s="8"/>
    </row>
    <row r="1253" spans="28:28" x14ac:dyDescent="0.25">
      <c r="AB1253" s="8"/>
    </row>
    <row r="1254" spans="28:28" x14ac:dyDescent="0.25">
      <c r="AB1254" s="8"/>
    </row>
    <row r="1255" spans="28:28" x14ac:dyDescent="0.25">
      <c r="AB1255" s="8"/>
    </row>
    <row r="1256" spans="28:28" x14ac:dyDescent="0.25">
      <c r="AB1256" s="8"/>
    </row>
    <row r="1257" spans="28:28" x14ac:dyDescent="0.25">
      <c r="AB1257" s="8"/>
    </row>
    <row r="1258" spans="28:28" x14ac:dyDescent="0.25">
      <c r="AB1258" s="8"/>
    </row>
    <row r="1259" spans="28:28" x14ac:dyDescent="0.25">
      <c r="AB1259" s="8"/>
    </row>
    <row r="1260" spans="28:28" x14ac:dyDescent="0.25">
      <c r="AB1260" s="8"/>
    </row>
    <row r="1261" spans="28:28" x14ac:dyDescent="0.25">
      <c r="AB1261" s="8"/>
    </row>
    <row r="1262" spans="28:28" x14ac:dyDescent="0.25">
      <c r="AB1262" s="8"/>
    </row>
    <row r="1263" spans="28:28" x14ac:dyDescent="0.25">
      <c r="AB1263" s="8"/>
    </row>
    <row r="1264" spans="28:28" x14ac:dyDescent="0.25">
      <c r="AB1264" s="8"/>
    </row>
    <row r="1265" spans="28:28" x14ac:dyDescent="0.25">
      <c r="AB1265" s="8"/>
    </row>
    <row r="1266" spans="28:28" x14ac:dyDescent="0.25">
      <c r="AB1266" s="8"/>
    </row>
    <row r="1267" spans="28:28" x14ac:dyDescent="0.25">
      <c r="AB1267" s="8"/>
    </row>
    <row r="1268" spans="28:28" x14ac:dyDescent="0.25">
      <c r="AB1268" s="8"/>
    </row>
    <row r="1269" spans="28:28" x14ac:dyDescent="0.25">
      <c r="AB1269" s="8"/>
    </row>
    <row r="1270" spans="28:28" x14ac:dyDescent="0.25">
      <c r="AB1270" s="8"/>
    </row>
    <row r="1271" spans="28:28" x14ac:dyDescent="0.25">
      <c r="AB1271" s="8"/>
    </row>
    <row r="1272" spans="28:28" x14ac:dyDescent="0.25">
      <c r="AB1272" s="8"/>
    </row>
    <row r="1273" spans="28:28" x14ac:dyDescent="0.25">
      <c r="AB1273" s="8"/>
    </row>
    <row r="1274" spans="28:28" x14ac:dyDescent="0.25">
      <c r="AB1274" s="8"/>
    </row>
    <row r="1275" spans="28:28" x14ac:dyDescent="0.25">
      <c r="AB1275" s="8"/>
    </row>
    <row r="1276" spans="28:28" x14ac:dyDescent="0.25">
      <c r="AB1276" s="8"/>
    </row>
    <row r="1277" spans="28:28" x14ac:dyDescent="0.25">
      <c r="AB1277" s="8"/>
    </row>
    <row r="1278" spans="28:28" x14ac:dyDescent="0.25">
      <c r="AB1278" s="8"/>
    </row>
    <row r="1279" spans="28:28" x14ac:dyDescent="0.25">
      <c r="AB1279" s="8"/>
    </row>
    <row r="1280" spans="28:28" x14ac:dyDescent="0.25">
      <c r="AB1280" s="8"/>
    </row>
    <row r="1281" spans="28:28" x14ac:dyDescent="0.25">
      <c r="AB1281" s="8"/>
    </row>
    <row r="1282" spans="28:28" x14ac:dyDescent="0.25">
      <c r="AB1282" s="8"/>
    </row>
    <row r="1283" spans="28:28" x14ac:dyDescent="0.25">
      <c r="AB1283" s="8"/>
    </row>
    <row r="1284" spans="28:28" x14ac:dyDescent="0.25">
      <c r="AB1284" s="8"/>
    </row>
    <row r="1285" spans="28:28" x14ac:dyDescent="0.25">
      <c r="AB1285" s="8"/>
    </row>
    <row r="1286" spans="28:28" x14ac:dyDescent="0.25">
      <c r="AB1286" s="8"/>
    </row>
    <row r="1287" spans="28:28" x14ac:dyDescent="0.25">
      <c r="AB1287" s="8"/>
    </row>
    <row r="1288" spans="28:28" x14ac:dyDescent="0.25">
      <c r="AB1288" s="8"/>
    </row>
    <row r="1289" spans="28:28" x14ac:dyDescent="0.25">
      <c r="AB1289" s="8"/>
    </row>
    <row r="1290" spans="28:28" x14ac:dyDescent="0.25">
      <c r="AB1290" s="8"/>
    </row>
    <row r="1291" spans="28:28" x14ac:dyDescent="0.25">
      <c r="AB1291" s="8"/>
    </row>
    <row r="1292" spans="28:28" x14ac:dyDescent="0.25">
      <c r="AB1292" s="8"/>
    </row>
    <row r="1293" spans="28:28" x14ac:dyDescent="0.25">
      <c r="AB1293" s="8"/>
    </row>
    <row r="1294" spans="28:28" x14ac:dyDescent="0.25">
      <c r="AB1294" s="8"/>
    </row>
    <row r="1295" spans="28:28" x14ac:dyDescent="0.25">
      <c r="AB1295" s="8"/>
    </row>
    <row r="1296" spans="28:28" x14ac:dyDescent="0.25">
      <c r="AB1296" s="8"/>
    </row>
    <row r="1297" spans="28:28" x14ac:dyDescent="0.25">
      <c r="AB1297" s="8"/>
    </row>
    <row r="1298" spans="28:28" x14ac:dyDescent="0.25">
      <c r="AB1298" s="8"/>
    </row>
    <row r="1299" spans="28:28" x14ac:dyDescent="0.25">
      <c r="AB1299" s="8"/>
    </row>
    <row r="1300" spans="28:28" x14ac:dyDescent="0.25">
      <c r="AB1300" s="8"/>
    </row>
    <row r="1301" spans="28:28" x14ac:dyDescent="0.25">
      <c r="AB1301" s="8"/>
    </row>
    <row r="1302" spans="28:28" x14ac:dyDescent="0.25">
      <c r="AB1302" s="8"/>
    </row>
    <row r="1303" spans="28:28" x14ac:dyDescent="0.25">
      <c r="AB1303" s="8"/>
    </row>
    <row r="1304" spans="28:28" x14ac:dyDescent="0.25">
      <c r="AB1304" s="8"/>
    </row>
    <row r="1305" spans="28:28" x14ac:dyDescent="0.25">
      <c r="AB1305" s="8"/>
    </row>
    <row r="1306" spans="28:28" x14ac:dyDescent="0.25">
      <c r="AB1306" s="8"/>
    </row>
    <row r="1307" spans="28:28" x14ac:dyDescent="0.25">
      <c r="AB1307" s="8"/>
    </row>
    <row r="1308" spans="28:28" x14ac:dyDescent="0.25">
      <c r="AB1308" s="8"/>
    </row>
    <row r="1309" spans="28:28" x14ac:dyDescent="0.25">
      <c r="AB1309" s="8"/>
    </row>
    <row r="1310" spans="28:28" x14ac:dyDescent="0.25">
      <c r="AB1310" s="8"/>
    </row>
    <row r="1311" spans="28:28" x14ac:dyDescent="0.25">
      <c r="AB1311" s="8"/>
    </row>
    <row r="1312" spans="28:28" x14ac:dyDescent="0.25">
      <c r="AB1312" s="8"/>
    </row>
    <row r="1313" spans="28:28" x14ac:dyDescent="0.25">
      <c r="AB1313" s="8"/>
    </row>
    <row r="1314" spans="28:28" x14ac:dyDescent="0.25">
      <c r="AB1314" s="8"/>
    </row>
    <row r="1315" spans="28:28" x14ac:dyDescent="0.25">
      <c r="AB1315" s="8"/>
    </row>
    <row r="1316" spans="28:28" x14ac:dyDescent="0.25">
      <c r="AB1316" s="8"/>
    </row>
    <row r="1317" spans="28:28" x14ac:dyDescent="0.25">
      <c r="AB1317" s="8"/>
    </row>
    <row r="1318" spans="28:28" x14ac:dyDescent="0.25">
      <c r="AB1318" s="8"/>
    </row>
    <row r="1319" spans="28:28" x14ac:dyDescent="0.25">
      <c r="AB1319" s="8"/>
    </row>
    <row r="1320" spans="28:28" x14ac:dyDescent="0.25">
      <c r="AB1320" s="8"/>
    </row>
    <row r="1321" spans="28:28" x14ac:dyDescent="0.25">
      <c r="AB1321" s="8"/>
    </row>
    <row r="1322" spans="28:28" x14ac:dyDescent="0.25">
      <c r="AB1322" s="8"/>
    </row>
    <row r="1323" spans="28:28" x14ac:dyDescent="0.25">
      <c r="AB1323" s="8"/>
    </row>
    <row r="1324" spans="28:28" x14ac:dyDescent="0.25">
      <c r="AB1324" s="8"/>
    </row>
    <row r="1325" spans="28:28" x14ac:dyDescent="0.25">
      <c r="AB1325" s="8"/>
    </row>
    <row r="1326" spans="28:28" x14ac:dyDescent="0.25">
      <c r="AB1326" s="8"/>
    </row>
    <row r="1327" spans="28:28" x14ac:dyDescent="0.25">
      <c r="AB1327" s="8"/>
    </row>
    <row r="1328" spans="28:28" x14ac:dyDescent="0.25">
      <c r="AB1328" s="8"/>
    </row>
    <row r="1329" spans="28:28" x14ac:dyDescent="0.25">
      <c r="AB1329" s="8"/>
    </row>
    <row r="1330" spans="28:28" x14ac:dyDescent="0.25">
      <c r="AB1330" s="8"/>
    </row>
    <row r="1331" spans="28:28" x14ac:dyDescent="0.25">
      <c r="AB1331" s="8"/>
    </row>
    <row r="1332" spans="28:28" x14ac:dyDescent="0.25">
      <c r="AB1332" s="8"/>
    </row>
    <row r="1333" spans="28:28" x14ac:dyDescent="0.25">
      <c r="AB1333" s="8"/>
    </row>
    <row r="1334" spans="28:28" x14ac:dyDescent="0.25">
      <c r="AB1334" s="8"/>
    </row>
    <row r="1335" spans="28:28" x14ac:dyDescent="0.25">
      <c r="AB1335" s="8"/>
    </row>
    <row r="1336" spans="28:28" x14ac:dyDescent="0.25">
      <c r="AB1336" s="8"/>
    </row>
    <row r="1337" spans="28:28" x14ac:dyDescent="0.25">
      <c r="AB1337" s="8"/>
    </row>
    <row r="1338" spans="28:28" x14ac:dyDescent="0.25">
      <c r="AB1338" s="8"/>
    </row>
    <row r="1339" spans="28:28" x14ac:dyDescent="0.25">
      <c r="AB1339" s="8"/>
    </row>
    <row r="1340" spans="28:28" x14ac:dyDescent="0.25">
      <c r="AB1340" s="8"/>
    </row>
    <row r="1341" spans="28:28" x14ac:dyDescent="0.25">
      <c r="AB1341" s="8"/>
    </row>
    <row r="1342" spans="28:28" x14ac:dyDescent="0.25">
      <c r="AB1342" s="8"/>
    </row>
    <row r="1343" spans="28:28" x14ac:dyDescent="0.25">
      <c r="AB1343" s="8"/>
    </row>
    <row r="1344" spans="28:28" x14ac:dyDescent="0.25">
      <c r="AB1344" s="8"/>
    </row>
    <row r="1345" spans="28:28" x14ac:dyDescent="0.25">
      <c r="AB1345" s="8"/>
    </row>
    <row r="1346" spans="28:28" x14ac:dyDescent="0.25">
      <c r="AB1346" s="8"/>
    </row>
    <row r="1347" spans="28:28" x14ac:dyDescent="0.25">
      <c r="AB1347" s="8"/>
    </row>
    <row r="1348" spans="28:28" x14ac:dyDescent="0.25">
      <c r="AB1348" s="8"/>
    </row>
    <row r="1349" spans="28:28" x14ac:dyDescent="0.25">
      <c r="AB1349" s="8"/>
    </row>
    <row r="1350" spans="28:28" x14ac:dyDescent="0.25">
      <c r="AB1350" s="8"/>
    </row>
    <row r="1351" spans="28:28" x14ac:dyDescent="0.25">
      <c r="AB1351" s="8"/>
    </row>
    <row r="1352" spans="28:28" x14ac:dyDescent="0.25">
      <c r="AB1352" s="8"/>
    </row>
    <row r="1353" spans="28:28" x14ac:dyDescent="0.25">
      <c r="AB1353" s="8"/>
    </row>
    <row r="1354" spans="28:28" x14ac:dyDescent="0.25">
      <c r="AB1354" s="8"/>
    </row>
    <row r="1355" spans="28:28" x14ac:dyDescent="0.25">
      <c r="AB1355" s="8"/>
    </row>
    <row r="1356" spans="28:28" x14ac:dyDescent="0.25">
      <c r="AB1356" s="8"/>
    </row>
    <row r="1357" spans="28:28" x14ac:dyDescent="0.25">
      <c r="AB1357" s="8"/>
    </row>
    <row r="1358" spans="28:28" x14ac:dyDescent="0.25">
      <c r="AB1358" s="8"/>
    </row>
    <row r="1359" spans="28:28" x14ac:dyDescent="0.25">
      <c r="AB1359" s="8"/>
    </row>
    <row r="1360" spans="28:28" x14ac:dyDescent="0.25">
      <c r="AB1360" s="8"/>
    </row>
    <row r="1361" spans="28:28" x14ac:dyDescent="0.25">
      <c r="AB1361" s="8"/>
    </row>
    <row r="1362" spans="28:28" x14ac:dyDescent="0.25">
      <c r="AB1362" s="8"/>
    </row>
    <row r="1363" spans="28:28" x14ac:dyDescent="0.25">
      <c r="AB1363" s="8"/>
    </row>
    <row r="1364" spans="28:28" x14ac:dyDescent="0.25">
      <c r="AB1364" s="8"/>
    </row>
    <row r="1365" spans="28:28" x14ac:dyDescent="0.25">
      <c r="AB1365" s="8"/>
    </row>
    <row r="1366" spans="28:28" x14ac:dyDescent="0.25">
      <c r="AB1366" s="8"/>
    </row>
    <row r="1367" spans="28:28" x14ac:dyDescent="0.25">
      <c r="AB1367" s="8"/>
    </row>
    <row r="1368" spans="28:28" x14ac:dyDescent="0.25">
      <c r="AB1368" s="8"/>
    </row>
    <row r="1369" spans="28:28" x14ac:dyDescent="0.25">
      <c r="AB1369" s="8"/>
    </row>
    <row r="1370" spans="28:28" x14ac:dyDescent="0.25">
      <c r="AB1370" s="8"/>
    </row>
    <row r="1371" spans="28:28" x14ac:dyDescent="0.25">
      <c r="AB1371" s="8"/>
    </row>
    <row r="1372" spans="28:28" x14ac:dyDescent="0.25">
      <c r="AB1372" s="8"/>
    </row>
    <row r="1373" spans="28:28" x14ac:dyDescent="0.25">
      <c r="AB1373" s="8"/>
    </row>
    <row r="1374" spans="28:28" x14ac:dyDescent="0.25">
      <c r="AB1374" s="8"/>
    </row>
    <row r="1375" spans="28:28" x14ac:dyDescent="0.25">
      <c r="AB1375" s="8"/>
    </row>
    <row r="1376" spans="28:28" x14ac:dyDescent="0.25">
      <c r="AB1376" s="8"/>
    </row>
    <row r="1377" spans="28:28" x14ac:dyDescent="0.25">
      <c r="AB1377" s="8"/>
    </row>
    <row r="1378" spans="28:28" x14ac:dyDescent="0.25">
      <c r="AB1378" s="8"/>
    </row>
    <row r="1379" spans="28:28" x14ac:dyDescent="0.25">
      <c r="AB1379" s="8"/>
    </row>
    <row r="1380" spans="28:28" x14ac:dyDescent="0.25">
      <c r="AB1380" s="8"/>
    </row>
    <row r="1381" spans="28:28" x14ac:dyDescent="0.25">
      <c r="AB1381" s="8"/>
    </row>
    <row r="1382" spans="28:28" x14ac:dyDescent="0.25">
      <c r="AB1382" s="8"/>
    </row>
    <row r="1383" spans="28:28" x14ac:dyDescent="0.25">
      <c r="AB1383" s="8"/>
    </row>
    <row r="1384" spans="28:28" x14ac:dyDescent="0.25">
      <c r="AB1384" s="8"/>
    </row>
    <row r="1385" spans="28:28" x14ac:dyDescent="0.25">
      <c r="AB1385" s="8"/>
    </row>
    <row r="1386" spans="28:28" x14ac:dyDescent="0.25">
      <c r="AB1386" s="8"/>
    </row>
    <row r="1387" spans="28:28" x14ac:dyDescent="0.25">
      <c r="AB1387" s="8"/>
    </row>
    <row r="1388" spans="28:28" x14ac:dyDescent="0.25">
      <c r="AB1388" s="8"/>
    </row>
    <row r="1389" spans="28:28" x14ac:dyDescent="0.25">
      <c r="AB1389" s="8"/>
    </row>
    <row r="1390" spans="28:28" x14ac:dyDescent="0.25">
      <c r="AB1390" s="8"/>
    </row>
    <row r="1391" spans="28:28" x14ac:dyDescent="0.25">
      <c r="AB1391" s="8"/>
    </row>
    <row r="1392" spans="28:28" x14ac:dyDescent="0.25">
      <c r="AB1392" s="8"/>
    </row>
    <row r="1393" spans="28:28" x14ac:dyDescent="0.25">
      <c r="AB1393" s="8"/>
    </row>
    <row r="1394" spans="28:28" x14ac:dyDescent="0.25">
      <c r="AB1394" s="8"/>
    </row>
    <row r="1395" spans="28:28" x14ac:dyDescent="0.25">
      <c r="AB1395" s="8"/>
    </row>
    <row r="1396" spans="28:28" x14ac:dyDescent="0.25">
      <c r="AB1396" s="8"/>
    </row>
    <row r="1397" spans="28:28" x14ac:dyDescent="0.25">
      <c r="AB1397" s="8"/>
    </row>
    <row r="1398" spans="28:28" x14ac:dyDescent="0.25">
      <c r="AB1398" s="8"/>
    </row>
    <row r="1399" spans="28:28" x14ac:dyDescent="0.25">
      <c r="AB1399" s="8"/>
    </row>
    <row r="1400" spans="28:28" x14ac:dyDescent="0.25">
      <c r="AB1400" s="8"/>
    </row>
    <row r="1401" spans="28:28" x14ac:dyDescent="0.25">
      <c r="AB1401" s="8"/>
    </row>
    <row r="1402" spans="28:28" x14ac:dyDescent="0.25">
      <c r="AB1402" s="8"/>
    </row>
    <row r="1403" spans="28:28" x14ac:dyDescent="0.25">
      <c r="AB1403" s="8"/>
    </row>
    <row r="1404" spans="28:28" x14ac:dyDescent="0.25">
      <c r="AB1404" s="8"/>
    </row>
    <row r="1405" spans="28:28" x14ac:dyDescent="0.25">
      <c r="AB1405" s="8"/>
    </row>
    <row r="1406" spans="28:28" x14ac:dyDescent="0.25">
      <c r="AB1406" s="8"/>
    </row>
    <row r="1407" spans="28:28" x14ac:dyDescent="0.25">
      <c r="AB1407" s="8"/>
    </row>
    <row r="1408" spans="28:28" x14ac:dyDescent="0.25">
      <c r="AB1408" s="8"/>
    </row>
    <row r="1409" spans="28:28" x14ac:dyDescent="0.25">
      <c r="AB1409" s="8"/>
    </row>
    <row r="1410" spans="28:28" x14ac:dyDescent="0.25">
      <c r="AB1410" s="8"/>
    </row>
    <row r="1411" spans="28:28" x14ac:dyDescent="0.25">
      <c r="AB1411" s="8"/>
    </row>
    <row r="1412" spans="28:28" x14ac:dyDescent="0.25">
      <c r="AB1412" s="8"/>
    </row>
    <row r="1413" spans="28:28" x14ac:dyDescent="0.25">
      <c r="AB1413" s="8"/>
    </row>
    <row r="1414" spans="28:28" x14ac:dyDescent="0.25">
      <c r="AB1414" s="8"/>
    </row>
    <row r="1415" spans="28:28" x14ac:dyDescent="0.25">
      <c r="AB1415" s="8"/>
    </row>
    <row r="1416" spans="28:28" x14ac:dyDescent="0.25">
      <c r="AB1416" s="8"/>
    </row>
    <row r="1417" spans="28:28" x14ac:dyDescent="0.25">
      <c r="AB1417" s="8"/>
    </row>
    <row r="1418" spans="28:28" x14ac:dyDescent="0.25">
      <c r="AB1418" s="8"/>
    </row>
    <row r="1419" spans="28:28" x14ac:dyDescent="0.25">
      <c r="AB1419" s="8"/>
    </row>
    <row r="1420" spans="28:28" x14ac:dyDescent="0.25">
      <c r="AB1420" s="8"/>
    </row>
    <row r="1421" spans="28:28" x14ac:dyDescent="0.25">
      <c r="AB1421" s="8"/>
    </row>
    <row r="1422" spans="28:28" x14ac:dyDescent="0.25">
      <c r="AB1422" s="8"/>
    </row>
    <row r="1423" spans="28:28" x14ac:dyDescent="0.25">
      <c r="AB1423" s="8"/>
    </row>
    <row r="1424" spans="28:28" x14ac:dyDescent="0.25">
      <c r="AB1424" s="8"/>
    </row>
    <row r="1425" spans="28:28" x14ac:dyDescent="0.25">
      <c r="AB1425" s="8"/>
    </row>
    <row r="1426" spans="28:28" x14ac:dyDescent="0.25">
      <c r="AB1426" s="8"/>
    </row>
    <row r="1427" spans="28:28" x14ac:dyDescent="0.25">
      <c r="AB1427" s="8"/>
    </row>
    <row r="1428" spans="28:28" x14ac:dyDescent="0.25">
      <c r="AB1428" s="8"/>
    </row>
    <row r="1429" spans="28:28" x14ac:dyDescent="0.25">
      <c r="AB1429" s="8"/>
    </row>
    <row r="1430" spans="28:28" x14ac:dyDescent="0.25">
      <c r="AB1430" s="8"/>
    </row>
    <row r="1431" spans="28:28" x14ac:dyDescent="0.25">
      <c r="AB1431" s="8"/>
    </row>
    <row r="1432" spans="28:28" x14ac:dyDescent="0.25">
      <c r="AB1432" s="8"/>
    </row>
    <row r="1433" spans="28:28" x14ac:dyDescent="0.25">
      <c r="AB1433" s="8"/>
    </row>
    <row r="1434" spans="28:28" x14ac:dyDescent="0.25">
      <c r="AB1434" s="8"/>
    </row>
    <row r="1435" spans="28:28" x14ac:dyDescent="0.25">
      <c r="AB1435" s="8"/>
    </row>
    <row r="1436" spans="28:28" x14ac:dyDescent="0.25">
      <c r="AB1436" s="8"/>
    </row>
    <row r="1437" spans="28:28" x14ac:dyDescent="0.25">
      <c r="AB1437" s="8"/>
    </row>
    <row r="1438" spans="28:28" x14ac:dyDescent="0.25">
      <c r="AB1438" s="8"/>
    </row>
    <row r="1439" spans="28:28" x14ac:dyDescent="0.25">
      <c r="AB1439" s="8"/>
    </row>
    <row r="1440" spans="28:28" x14ac:dyDescent="0.25">
      <c r="AB1440" s="8"/>
    </row>
    <row r="1441" spans="28:28" x14ac:dyDescent="0.25">
      <c r="AB1441" s="8"/>
    </row>
    <row r="1442" spans="28:28" x14ac:dyDescent="0.25">
      <c r="AB1442" s="8"/>
    </row>
    <row r="1443" spans="28:28" x14ac:dyDescent="0.25">
      <c r="AB1443" s="8"/>
    </row>
    <row r="1444" spans="28:28" x14ac:dyDescent="0.25">
      <c r="AB1444" s="8"/>
    </row>
    <row r="1445" spans="28:28" x14ac:dyDescent="0.25">
      <c r="AB1445" s="8"/>
    </row>
    <row r="1446" spans="28:28" x14ac:dyDescent="0.25">
      <c r="AB1446" s="8"/>
    </row>
    <row r="1447" spans="28:28" x14ac:dyDescent="0.25">
      <c r="AB1447" s="8"/>
    </row>
    <row r="1448" spans="28:28" x14ac:dyDescent="0.25">
      <c r="AB1448" s="8"/>
    </row>
    <row r="1449" spans="28:28" x14ac:dyDescent="0.25">
      <c r="AB1449" s="8"/>
    </row>
    <row r="1450" spans="28:28" x14ac:dyDescent="0.25">
      <c r="AB1450" s="8"/>
    </row>
    <row r="1451" spans="28:28" x14ac:dyDescent="0.25">
      <c r="AB1451" s="8"/>
    </row>
    <row r="1452" spans="28:28" x14ac:dyDescent="0.25">
      <c r="AB1452" s="8"/>
    </row>
    <row r="1453" spans="28:28" x14ac:dyDescent="0.25">
      <c r="AB1453" s="8"/>
    </row>
    <row r="1454" spans="28:28" x14ac:dyDescent="0.25">
      <c r="AB1454" s="8"/>
    </row>
    <row r="1455" spans="28:28" x14ac:dyDescent="0.25">
      <c r="AB1455" s="8"/>
    </row>
    <row r="1456" spans="28:28" x14ac:dyDescent="0.25">
      <c r="AB1456" s="8"/>
    </row>
    <row r="1457" spans="28:28" x14ac:dyDescent="0.25">
      <c r="AB1457" s="8"/>
    </row>
    <row r="1458" spans="28:28" x14ac:dyDescent="0.25">
      <c r="AB1458" s="8"/>
    </row>
    <row r="1459" spans="28:28" x14ac:dyDescent="0.25">
      <c r="AB1459" s="8"/>
    </row>
    <row r="1460" spans="28:28" x14ac:dyDescent="0.25">
      <c r="AB1460" s="8"/>
    </row>
    <row r="1461" spans="28:28" x14ac:dyDescent="0.25">
      <c r="AB1461" s="8"/>
    </row>
    <row r="1462" spans="28:28" x14ac:dyDescent="0.25">
      <c r="AB1462" s="8"/>
    </row>
    <row r="1463" spans="28:28" x14ac:dyDescent="0.25">
      <c r="AB1463" s="8"/>
    </row>
    <row r="1464" spans="28:28" x14ac:dyDescent="0.25">
      <c r="AB1464" s="8"/>
    </row>
    <row r="1465" spans="28:28" x14ac:dyDescent="0.25">
      <c r="AB1465" s="8"/>
    </row>
    <row r="1466" spans="28:28" x14ac:dyDescent="0.25">
      <c r="AB1466" s="8"/>
    </row>
    <row r="1467" spans="28:28" x14ac:dyDescent="0.25">
      <c r="AB1467" s="8"/>
    </row>
    <row r="1468" spans="28:28" x14ac:dyDescent="0.25">
      <c r="AB1468" s="8"/>
    </row>
    <row r="1469" spans="28:28" x14ac:dyDescent="0.25">
      <c r="AB1469" s="8"/>
    </row>
    <row r="1470" spans="28:28" x14ac:dyDescent="0.25">
      <c r="AB1470" s="8"/>
    </row>
    <row r="1471" spans="28:28" x14ac:dyDescent="0.25">
      <c r="AB1471" s="8"/>
    </row>
    <row r="1472" spans="28:28" x14ac:dyDescent="0.25">
      <c r="AB1472" s="8"/>
    </row>
    <row r="1473" spans="28:28" x14ac:dyDescent="0.25">
      <c r="AB1473" s="8"/>
    </row>
    <row r="1474" spans="28:28" x14ac:dyDescent="0.25">
      <c r="AB1474" s="8"/>
    </row>
    <row r="1475" spans="28:28" x14ac:dyDescent="0.25">
      <c r="AB1475" s="8"/>
    </row>
    <row r="1476" spans="28:28" x14ac:dyDescent="0.25">
      <c r="AB1476" s="8"/>
    </row>
    <row r="1477" spans="28:28" x14ac:dyDescent="0.25">
      <c r="AB1477" s="8"/>
    </row>
    <row r="1478" spans="28:28" x14ac:dyDescent="0.25">
      <c r="AB1478" s="8"/>
    </row>
    <row r="1479" spans="28:28" x14ac:dyDescent="0.25">
      <c r="AB1479" s="8"/>
    </row>
    <row r="1480" spans="28:28" x14ac:dyDescent="0.25">
      <c r="AB1480" s="8"/>
    </row>
    <row r="1481" spans="28:28" x14ac:dyDescent="0.25">
      <c r="AB1481" s="8"/>
    </row>
    <row r="1482" spans="28:28" x14ac:dyDescent="0.25">
      <c r="AB1482" s="8"/>
    </row>
    <row r="1483" spans="28:28" x14ac:dyDescent="0.25">
      <c r="AB1483" s="8"/>
    </row>
    <row r="1484" spans="28:28" x14ac:dyDescent="0.25">
      <c r="AB1484" s="8"/>
    </row>
    <row r="1485" spans="28:28" x14ac:dyDescent="0.25">
      <c r="AB1485" s="8"/>
    </row>
    <row r="1486" spans="28:28" x14ac:dyDescent="0.25">
      <c r="AB1486" s="8"/>
    </row>
    <row r="1487" spans="28:28" x14ac:dyDescent="0.25">
      <c r="AB1487" s="8"/>
    </row>
    <row r="1488" spans="28:28" x14ac:dyDescent="0.25">
      <c r="AB1488" s="8"/>
    </row>
    <row r="1489" spans="28:28" x14ac:dyDescent="0.25">
      <c r="AB1489" s="8"/>
    </row>
    <row r="1490" spans="28:28" x14ac:dyDescent="0.25">
      <c r="AB1490" s="8"/>
    </row>
    <row r="1491" spans="28:28" x14ac:dyDescent="0.25">
      <c r="AB1491" s="8"/>
    </row>
    <row r="1492" spans="28:28" x14ac:dyDescent="0.25">
      <c r="AB1492" s="8"/>
    </row>
    <row r="1493" spans="28:28" x14ac:dyDescent="0.25">
      <c r="AB1493" s="8"/>
    </row>
    <row r="1494" spans="28:28" x14ac:dyDescent="0.25">
      <c r="AB1494" s="8"/>
    </row>
    <row r="1495" spans="28:28" x14ac:dyDescent="0.25">
      <c r="AB1495" s="8"/>
    </row>
    <row r="1496" spans="28:28" x14ac:dyDescent="0.25">
      <c r="AB1496" s="8"/>
    </row>
    <row r="1497" spans="28:28" x14ac:dyDescent="0.25">
      <c r="AB1497" s="8"/>
    </row>
    <row r="1498" spans="28:28" x14ac:dyDescent="0.25">
      <c r="AB1498" s="8"/>
    </row>
    <row r="1499" spans="28:28" x14ac:dyDescent="0.25">
      <c r="AB1499" s="8"/>
    </row>
    <row r="1500" spans="28:28" x14ac:dyDescent="0.25">
      <c r="AB1500" s="8"/>
    </row>
    <row r="1501" spans="28:28" x14ac:dyDescent="0.25">
      <c r="AB1501" s="8"/>
    </row>
    <row r="1502" spans="28:28" x14ac:dyDescent="0.25">
      <c r="AB1502" s="8"/>
    </row>
    <row r="1503" spans="28:28" x14ac:dyDescent="0.25">
      <c r="AB1503" s="8"/>
    </row>
    <row r="1504" spans="28:28" x14ac:dyDescent="0.25">
      <c r="AB1504" s="8"/>
    </row>
    <row r="1505" spans="28:28" x14ac:dyDescent="0.25">
      <c r="AB1505" s="8"/>
    </row>
    <row r="1506" spans="28:28" x14ac:dyDescent="0.25">
      <c r="AB1506" s="8"/>
    </row>
    <row r="1507" spans="28:28" x14ac:dyDescent="0.25">
      <c r="AB1507" s="8"/>
    </row>
    <row r="1508" spans="28:28" x14ac:dyDescent="0.25">
      <c r="AB1508" s="8"/>
    </row>
    <row r="1509" spans="28:28" x14ac:dyDescent="0.25">
      <c r="AB1509" s="8"/>
    </row>
    <row r="1510" spans="28:28" x14ac:dyDescent="0.25">
      <c r="AB1510" s="8"/>
    </row>
    <row r="1511" spans="28:28" x14ac:dyDescent="0.25">
      <c r="AB1511" s="8"/>
    </row>
    <row r="1512" spans="28:28" x14ac:dyDescent="0.25">
      <c r="AB1512" s="8"/>
    </row>
    <row r="1513" spans="28:28" x14ac:dyDescent="0.25">
      <c r="AB1513" s="8"/>
    </row>
    <row r="1514" spans="28:28" x14ac:dyDescent="0.25">
      <c r="AB1514" s="8"/>
    </row>
    <row r="1515" spans="28:28" x14ac:dyDescent="0.25">
      <c r="AB1515" s="8"/>
    </row>
    <row r="1516" spans="28:28" x14ac:dyDescent="0.25">
      <c r="AB1516" s="8"/>
    </row>
    <row r="1517" spans="28:28" x14ac:dyDescent="0.25">
      <c r="AB1517" s="8"/>
    </row>
    <row r="1518" spans="28:28" x14ac:dyDescent="0.25">
      <c r="AB1518" s="8"/>
    </row>
    <row r="1519" spans="28:28" x14ac:dyDescent="0.25">
      <c r="AB1519" s="8"/>
    </row>
    <row r="1520" spans="28:28" x14ac:dyDescent="0.25">
      <c r="AB1520" s="8"/>
    </row>
    <row r="1521" spans="28:28" x14ac:dyDescent="0.25">
      <c r="AB1521" s="8"/>
    </row>
    <row r="1522" spans="28:28" x14ac:dyDescent="0.25">
      <c r="AB1522" s="8"/>
    </row>
    <row r="1523" spans="28:28" x14ac:dyDescent="0.25">
      <c r="AB1523" s="8"/>
    </row>
    <row r="1524" spans="28:28" x14ac:dyDescent="0.25">
      <c r="AB1524" s="8"/>
    </row>
    <row r="1525" spans="28:28" x14ac:dyDescent="0.25">
      <c r="AB1525" s="8"/>
    </row>
    <row r="1526" spans="28:28" x14ac:dyDescent="0.25">
      <c r="AB1526" s="8"/>
    </row>
    <row r="1527" spans="28:28" x14ac:dyDescent="0.25">
      <c r="AB1527" s="8"/>
    </row>
    <row r="1528" spans="28:28" x14ac:dyDescent="0.25">
      <c r="AB1528" s="8"/>
    </row>
  </sheetData>
  <mergeCells count="45">
    <mergeCell ref="A252:F252"/>
    <mergeCell ref="X252:AA252"/>
    <mergeCell ref="I16:I17"/>
    <mergeCell ref="AB15:AB17"/>
    <mergeCell ref="N16:N17"/>
    <mergeCell ref="N15:S15"/>
    <mergeCell ref="E15:I15"/>
    <mergeCell ref="T15:Y15"/>
    <mergeCell ref="T16:T17"/>
    <mergeCell ref="U16:U17"/>
    <mergeCell ref="V16:V17"/>
    <mergeCell ref="W16:X16"/>
    <mergeCell ref="Y16:Y17"/>
    <mergeCell ref="Z14:Z17"/>
    <mergeCell ref="AA14:AA17"/>
    <mergeCell ref="C14:C17"/>
    <mergeCell ref="V1:Y1"/>
    <mergeCell ref="AC162:AC183"/>
    <mergeCell ref="AC184:AC202"/>
    <mergeCell ref="AC203:AC229"/>
    <mergeCell ref="AC230:AC266"/>
    <mergeCell ref="AC37:AC58"/>
    <mergeCell ref="AC59:AC79"/>
    <mergeCell ref="AC80:AC93"/>
    <mergeCell ref="AC94:AC118"/>
    <mergeCell ref="AC138:AC161"/>
    <mergeCell ref="A11:AB11"/>
    <mergeCell ref="A10:AB10"/>
    <mergeCell ref="A12:AB12"/>
    <mergeCell ref="Q16:R16"/>
    <mergeCell ref="A14:A17"/>
    <mergeCell ref="B14:B17"/>
    <mergeCell ref="D14:D17"/>
    <mergeCell ref="N14:Y14"/>
    <mergeCell ref="J16:J17"/>
    <mergeCell ref="K16:L16"/>
    <mergeCell ref="J15:L15"/>
    <mergeCell ref="E14:L14"/>
    <mergeCell ref="M14:M17"/>
    <mergeCell ref="S16:S17"/>
    <mergeCell ref="O16:O17"/>
    <mergeCell ref="G16:H16"/>
    <mergeCell ref="F16:F17"/>
    <mergeCell ref="P16:P17"/>
    <mergeCell ref="E16:E17"/>
  </mergeCells>
  <phoneticPr fontId="2" type="noConversion"/>
  <printOptions horizontalCentered="1"/>
  <pageMargins left="0.19685039370078741" right="0" top="1.0236220472440944" bottom="0.31496062992125984" header="0.62992125984251968" footer="0.11811023622047245"/>
  <pageSetup paperSize="9" scale="28" fitToHeight="10000" orientation="landscape" useFirstPageNumber="1" verticalDpi="360" r:id="rId1"/>
  <headerFooter scaleWithDoc="0">
    <oddFooter>&amp;R&amp;6Сторінка &amp;P</oddFooter>
  </headerFooter>
  <rowBreaks count="4" manualBreakCount="4">
    <brk id="45" max="26" man="1"/>
    <brk id="163" max="26" man="1"/>
    <brk id="194" max="26" man="1"/>
    <brk id="2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1"/>
  <sheetViews>
    <sheetView showGridLines="0" showZeros="0" tabSelected="1" view="pageBreakPreview" zoomScale="55" zoomScaleNormal="87" zoomScaleSheetLayoutView="55" workbookViewId="0">
      <selection activeCell="A13" sqref="A13:A16"/>
    </sheetView>
  </sheetViews>
  <sheetFormatPr defaultColWidth="9.1640625" defaultRowHeight="15.75" x14ac:dyDescent="0.25"/>
  <cols>
    <col min="1" max="1" width="19.1640625" style="101" customWidth="1"/>
    <col min="2" max="2" width="21.1640625" style="98" customWidth="1"/>
    <col min="3" max="3" width="74.1640625" style="102" customWidth="1"/>
    <col min="4" max="4" width="23.1640625" style="103" customWidth="1"/>
    <col min="5" max="5" width="23.83203125" style="103" hidden="1" customWidth="1"/>
    <col min="6" max="6" width="23.6640625" style="103" customWidth="1"/>
    <col min="7" max="7" width="20.83203125" style="103" customWidth="1"/>
    <col min="8" max="8" width="21.1640625" style="103" hidden="1" customWidth="1"/>
    <col min="9" max="11" width="21.1640625" style="103" customWidth="1"/>
    <col min="12" max="12" width="21.1640625" style="166" customWidth="1"/>
    <col min="13" max="13" width="22.5" style="103" customWidth="1"/>
    <col min="14" max="14" width="21.1640625" style="103" customWidth="1"/>
    <col min="15" max="15" width="21.33203125" style="103" customWidth="1"/>
    <col min="16" max="16" width="19.1640625" style="103" customWidth="1"/>
    <col min="17" max="17" width="18.83203125" style="103" customWidth="1"/>
    <col min="18" max="24" width="23" style="103" customWidth="1"/>
    <col min="25" max="25" width="23" style="166" customWidth="1"/>
    <col min="26" max="26" width="23" style="103" customWidth="1"/>
    <col min="27" max="27" width="22.83203125" style="103" hidden="1" customWidth="1"/>
    <col min="28" max="28" width="7.6640625" style="116" customWidth="1"/>
    <col min="29" max="29" width="0.1640625" style="98" customWidth="1"/>
    <col min="30" max="30" width="21.6640625" style="98" customWidth="1"/>
    <col min="31" max="31" width="12.1640625" style="98" customWidth="1"/>
    <col min="32" max="32" width="11.33203125" style="98" customWidth="1"/>
    <col min="33" max="33" width="10.83203125" style="98" customWidth="1"/>
    <col min="34" max="16384" width="9.1640625" style="98"/>
  </cols>
  <sheetData>
    <row r="1" spans="1:29" ht="29.45" customHeight="1" x14ac:dyDescent="0.45">
      <c r="N1" s="130"/>
      <c r="O1" s="130"/>
      <c r="P1" s="130"/>
      <c r="Q1" s="130"/>
      <c r="R1" s="130"/>
      <c r="S1" s="130"/>
      <c r="T1" s="218" t="s">
        <v>509</v>
      </c>
      <c r="U1" s="218"/>
      <c r="V1" s="218"/>
      <c r="W1" s="218"/>
      <c r="X1" s="130"/>
      <c r="Y1" s="174"/>
      <c r="Z1" s="130"/>
      <c r="AA1" s="130"/>
      <c r="AB1" s="70"/>
      <c r="AC1" s="214"/>
    </row>
    <row r="2" spans="1:29" ht="29.45" customHeight="1" x14ac:dyDescent="0.45">
      <c r="N2" s="130"/>
      <c r="O2" s="130"/>
      <c r="P2" s="130"/>
      <c r="Q2" s="130"/>
      <c r="R2" s="130"/>
      <c r="S2" s="130"/>
      <c r="T2" s="135" t="s">
        <v>503</v>
      </c>
      <c r="U2" s="135"/>
      <c r="V2" s="135"/>
      <c r="W2" s="135"/>
      <c r="X2" s="130"/>
      <c r="Y2" s="174"/>
      <c r="Z2" s="130"/>
      <c r="AA2" s="130"/>
      <c r="AB2" s="70"/>
      <c r="AC2" s="214"/>
    </row>
    <row r="3" spans="1:29" ht="29.45" customHeight="1" x14ac:dyDescent="0.45">
      <c r="N3" s="130"/>
      <c r="O3" s="130"/>
      <c r="P3" s="130"/>
      <c r="Q3" s="130"/>
      <c r="R3" s="130"/>
      <c r="S3" s="130"/>
      <c r="T3" s="136" t="s">
        <v>504</v>
      </c>
      <c r="U3" s="136"/>
      <c r="V3" s="136"/>
      <c r="W3" s="136"/>
      <c r="X3" s="130"/>
      <c r="Y3" s="174"/>
      <c r="Z3" s="130"/>
      <c r="AA3" s="130"/>
      <c r="AB3" s="70"/>
      <c r="AC3" s="214"/>
    </row>
    <row r="4" spans="1:29" ht="29.45" customHeight="1" x14ac:dyDescent="0.45">
      <c r="N4" s="130"/>
      <c r="O4" s="130"/>
      <c r="P4" s="130"/>
      <c r="Q4" s="130"/>
      <c r="R4" s="130"/>
      <c r="S4" s="130"/>
      <c r="T4" s="136" t="s">
        <v>505</v>
      </c>
      <c r="U4" s="136"/>
      <c r="V4" s="136"/>
      <c r="W4" s="136"/>
      <c r="X4" s="130"/>
      <c r="Y4" s="174"/>
      <c r="Z4" s="130"/>
      <c r="AA4" s="130"/>
      <c r="AB4" s="70"/>
      <c r="AC4" s="214"/>
    </row>
    <row r="5" spans="1:29" ht="29.45" customHeight="1" x14ac:dyDescent="0.45">
      <c r="N5" s="130"/>
      <c r="O5" s="130"/>
      <c r="P5" s="130"/>
      <c r="Q5" s="130"/>
      <c r="R5" s="130"/>
      <c r="S5" s="130"/>
      <c r="T5" s="136" t="s">
        <v>510</v>
      </c>
      <c r="U5" s="136"/>
      <c r="V5" s="136"/>
      <c r="W5" s="136"/>
      <c r="X5" s="130"/>
      <c r="Y5" s="174"/>
      <c r="Z5" s="130"/>
      <c r="AA5" s="130"/>
      <c r="AB5" s="70"/>
      <c r="AC5" s="214"/>
    </row>
    <row r="6" spans="1:29" ht="29.25" customHeight="1" x14ac:dyDescent="0.45">
      <c r="N6" s="130"/>
      <c r="O6" s="130"/>
      <c r="P6" s="130"/>
      <c r="Q6" s="130"/>
      <c r="R6" s="130"/>
      <c r="S6" s="130"/>
      <c r="T6" s="136" t="s">
        <v>506</v>
      </c>
      <c r="U6" s="136"/>
      <c r="V6" s="136"/>
      <c r="W6" s="136"/>
      <c r="X6" s="130"/>
      <c r="Y6" s="174"/>
      <c r="Z6" s="130"/>
      <c r="AA6" s="130"/>
      <c r="AB6" s="70"/>
      <c r="AC6" s="214"/>
    </row>
    <row r="7" spans="1:29" ht="102.6" customHeight="1" x14ac:dyDescent="0.4">
      <c r="N7" s="111"/>
      <c r="O7" s="111"/>
      <c r="P7" s="111"/>
      <c r="Q7" s="111"/>
      <c r="R7" s="111"/>
      <c r="S7" s="128"/>
      <c r="T7" s="128"/>
      <c r="U7" s="128"/>
      <c r="V7" s="128"/>
      <c r="W7" s="128"/>
      <c r="X7" s="128"/>
      <c r="Y7" s="175"/>
      <c r="Z7" s="128"/>
      <c r="AA7" s="111"/>
      <c r="AB7" s="70"/>
      <c r="AC7" s="214"/>
    </row>
    <row r="8" spans="1:29" ht="26.25" customHeight="1" x14ac:dyDescent="0.4"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176"/>
      <c r="Z8" s="27"/>
      <c r="AA8" s="27"/>
      <c r="AB8" s="70"/>
      <c r="AC8" s="214"/>
    </row>
    <row r="9" spans="1:29" ht="105.75" customHeight="1" x14ac:dyDescent="0.25">
      <c r="A9" s="216" t="s">
        <v>508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70"/>
      <c r="AC9" s="214"/>
    </row>
    <row r="10" spans="1:29" ht="23.25" customHeight="1" x14ac:dyDescent="0.25">
      <c r="A10" s="215" t="s">
        <v>357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70"/>
      <c r="AC10" s="214"/>
    </row>
    <row r="11" spans="1:29" ht="21" customHeight="1" x14ac:dyDescent="0.25">
      <c r="A11" s="209" t="s">
        <v>322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70"/>
      <c r="AC11" s="214"/>
    </row>
    <row r="12" spans="1:29" ht="21" customHeight="1" x14ac:dyDescent="0.3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55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55"/>
      <c r="Z12" s="29" t="s">
        <v>278</v>
      </c>
      <c r="AA12" s="129"/>
      <c r="AB12" s="70"/>
      <c r="AC12" s="214"/>
    </row>
    <row r="13" spans="1:29" s="112" customFormat="1" ht="20.25" customHeight="1" x14ac:dyDescent="0.3">
      <c r="A13" s="219" t="s">
        <v>262</v>
      </c>
      <c r="B13" s="219" t="s">
        <v>253</v>
      </c>
      <c r="C13" s="219" t="s">
        <v>264</v>
      </c>
      <c r="D13" s="220" t="s">
        <v>183</v>
      </c>
      <c r="E13" s="220"/>
      <c r="F13" s="220"/>
      <c r="G13" s="220"/>
      <c r="H13" s="220"/>
      <c r="I13" s="220"/>
      <c r="J13" s="220"/>
      <c r="K13" s="220"/>
      <c r="L13" s="203" t="s">
        <v>500</v>
      </c>
      <c r="M13" s="199" t="s">
        <v>184</v>
      </c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203" t="s">
        <v>500</v>
      </c>
      <c r="Z13" s="200" t="s">
        <v>185</v>
      </c>
      <c r="AA13" s="29"/>
      <c r="AB13" s="70"/>
      <c r="AC13" s="214"/>
    </row>
    <row r="14" spans="1:29" s="105" customFormat="1" ht="42.75" customHeight="1" x14ac:dyDescent="0.25">
      <c r="A14" s="219"/>
      <c r="B14" s="219"/>
      <c r="C14" s="219"/>
      <c r="D14" s="199" t="s">
        <v>498</v>
      </c>
      <c r="E14" s="199"/>
      <c r="F14" s="199"/>
      <c r="G14" s="199"/>
      <c r="H14" s="199"/>
      <c r="I14" s="199" t="s">
        <v>499</v>
      </c>
      <c r="J14" s="199"/>
      <c r="K14" s="199"/>
      <c r="L14" s="203"/>
      <c r="M14" s="199" t="s">
        <v>498</v>
      </c>
      <c r="N14" s="199"/>
      <c r="O14" s="199"/>
      <c r="P14" s="199"/>
      <c r="Q14" s="199"/>
      <c r="R14" s="199"/>
      <c r="S14" s="199" t="s">
        <v>499</v>
      </c>
      <c r="T14" s="199"/>
      <c r="U14" s="199"/>
      <c r="V14" s="199"/>
      <c r="W14" s="199"/>
      <c r="X14" s="199"/>
      <c r="Y14" s="203"/>
      <c r="Z14" s="200"/>
      <c r="AA14" s="213"/>
      <c r="AB14" s="70"/>
      <c r="AC14" s="214"/>
    </row>
    <row r="15" spans="1:29" s="105" customFormat="1" ht="29.25" customHeight="1" x14ac:dyDescent="0.25">
      <c r="A15" s="219"/>
      <c r="B15" s="219"/>
      <c r="C15" s="219"/>
      <c r="D15" s="217" t="s">
        <v>254</v>
      </c>
      <c r="E15" s="217" t="s">
        <v>186</v>
      </c>
      <c r="F15" s="201" t="s">
        <v>187</v>
      </c>
      <c r="G15" s="201"/>
      <c r="H15" s="217" t="s">
        <v>188</v>
      </c>
      <c r="I15" s="200" t="s">
        <v>254</v>
      </c>
      <c r="J15" s="201" t="s">
        <v>187</v>
      </c>
      <c r="K15" s="201"/>
      <c r="L15" s="203"/>
      <c r="M15" s="200" t="s">
        <v>254</v>
      </c>
      <c r="N15" s="200" t="s">
        <v>255</v>
      </c>
      <c r="O15" s="200" t="s">
        <v>186</v>
      </c>
      <c r="P15" s="201" t="s">
        <v>187</v>
      </c>
      <c r="Q15" s="201"/>
      <c r="R15" s="200" t="s">
        <v>188</v>
      </c>
      <c r="S15" s="200" t="s">
        <v>254</v>
      </c>
      <c r="T15" s="200" t="s">
        <v>255</v>
      </c>
      <c r="U15" s="200" t="s">
        <v>186</v>
      </c>
      <c r="V15" s="201" t="s">
        <v>187</v>
      </c>
      <c r="W15" s="201"/>
      <c r="X15" s="200" t="s">
        <v>188</v>
      </c>
      <c r="Y15" s="203"/>
      <c r="Z15" s="200"/>
      <c r="AA15" s="213"/>
      <c r="AB15" s="70"/>
      <c r="AC15" s="214"/>
    </row>
    <row r="16" spans="1:29" s="105" customFormat="1" ht="60.75" customHeight="1" x14ac:dyDescent="0.25">
      <c r="A16" s="219"/>
      <c r="B16" s="219"/>
      <c r="C16" s="219"/>
      <c r="D16" s="217"/>
      <c r="E16" s="217"/>
      <c r="F16" s="180" t="s">
        <v>189</v>
      </c>
      <c r="G16" s="180" t="s">
        <v>190</v>
      </c>
      <c r="H16" s="217"/>
      <c r="I16" s="200"/>
      <c r="J16" s="179" t="s">
        <v>189</v>
      </c>
      <c r="K16" s="179" t="s">
        <v>190</v>
      </c>
      <c r="L16" s="203"/>
      <c r="M16" s="200"/>
      <c r="N16" s="200"/>
      <c r="O16" s="200"/>
      <c r="P16" s="179" t="s">
        <v>189</v>
      </c>
      <c r="Q16" s="179" t="s">
        <v>190</v>
      </c>
      <c r="R16" s="200"/>
      <c r="S16" s="200"/>
      <c r="T16" s="200"/>
      <c r="U16" s="200"/>
      <c r="V16" s="179" t="s">
        <v>189</v>
      </c>
      <c r="W16" s="179" t="s">
        <v>190</v>
      </c>
      <c r="X16" s="200"/>
      <c r="Y16" s="203"/>
      <c r="Z16" s="200"/>
      <c r="AA16" s="213"/>
      <c r="AB16" s="70"/>
      <c r="AC16" s="214"/>
    </row>
    <row r="17" spans="1:29" s="105" customFormat="1" ht="21" customHeight="1" x14ac:dyDescent="0.25">
      <c r="A17" s="193" t="s">
        <v>36</v>
      </c>
      <c r="B17" s="194"/>
      <c r="C17" s="195" t="s">
        <v>368</v>
      </c>
      <c r="D17" s="196">
        <f>D18+D19</f>
        <v>422096700</v>
      </c>
      <c r="E17" s="196">
        <f t="shared" ref="E17:AA17" si="0">E18+E19</f>
        <v>422096700</v>
      </c>
      <c r="F17" s="196">
        <f t="shared" si="0"/>
        <v>320148000</v>
      </c>
      <c r="G17" s="196">
        <f t="shared" si="0"/>
        <v>11069700</v>
      </c>
      <c r="H17" s="196">
        <f t="shared" si="0"/>
        <v>0</v>
      </c>
      <c r="I17" s="196">
        <f t="shared" si="0"/>
        <v>103111512.55999999</v>
      </c>
      <c r="J17" s="196">
        <f t="shared" si="0"/>
        <v>79820952.150000006</v>
      </c>
      <c r="K17" s="196">
        <f t="shared" si="0"/>
        <v>2744673.88</v>
      </c>
      <c r="L17" s="197">
        <f>I17/D17*100</f>
        <v>24.428410020736951</v>
      </c>
      <c r="M17" s="196">
        <f t="shared" si="0"/>
        <v>1033000</v>
      </c>
      <c r="N17" s="196">
        <f t="shared" si="0"/>
        <v>633000</v>
      </c>
      <c r="O17" s="196">
        <f t="shared" si="0"/>
        <v>400000</v>
      </c>
      <c r="P17" s="196">
        <f t="shared" si="0"/>
        <v>0</v>
      </c>
      <c r="Q17" s="196">
        <f t="shared" si="0"/>
        <v>228200</v>
      </c>
      <c r="R17" s="196">
        <f t="shared" si="0"/>
        <v>633000</v>
      </c>
      <c r="S17" s="196">
        <f t="shared" si="0"/>
        <v>17677532.719999999</v>
      </c>
      <c r="T17" s="196">
        <f t="shared" si="0"/>
        <v>0</v>
      </c>
      <c r="U17" s="196">
        <f t="shared" si="0"/>
        <v>17506493.719999999</v>
      </c>
      <c r="V17" s="196">
        <f t="shared" si="0"/>
        <v>437914.3</v>
      </c>
      <c r="W17" s="196">
        <f t="shared" si="0"/>
        <v>55028.03</v>
      </c>
      <c r="X17" s="196">
        <f t="shared" si="0"/>
        <v>171039</v>
      </c>
      <c r="Y17" s="197" t="s">
        <v>520</v>
      </c>
      <c r="Z17" s="196">
        <f t="shared" si="0"/>
        <v>120789045.28</v>
      </c>
      <c r="AA17" s="72">
        <f t="shared" si="0"/>
        <v>423129700</v>
      </c>
      <c r="AB17" s="70"/>
      <c r="AC17" s="214"/>
    </row>
    <row r="18" spans="1:29" ht="37.5" customHeight="1" x14ac:dyDescent="0.25">
      <c r="A18" s="73" t="s">
        <v>100</v>
      </c>
      <c r="B18" s="73" t="s">
        <v>38</v>
      </c>
      <c r="C18" s="74" t="s">
        <v>364</v>
      </c>
      <c r="D18" s="75">
        <f>'дод 2'!E21+'дод 2'!E58+'дод 2'!E106+'дод 2'!E121+'дод 2'!E151+'дод 2'!E157+'дод 2'!E168+'дод 2'!E200+'дод 2'!E214+'дод 2'!E234+'дод 2'!E221+'дод 2'!E225+'дод 2'!E217+'дод 2'!E243</f>
        <v>418896700</v>
      </c>
      <c r="E18" s="75">
        <f>'дод 2'!F21+'дод 2'!F58+'дод 2'!F106+'дод 2'!F121+'дод 2'!F151+'дод 2'!F157+'дод 2'!F168+'дод 2'!F200+'дод 2'!F214+'дод 2'!F234+'дод 2'!F221+'дод 2'!F225+'дод 2'!F217+'дод 2'!F243</f>
        <v>418896700</v>
      </c>
      <c r="F18" s="75">
        <f>'дод 2'!G21+'дод 2'!G58+'дод 2'!G106+'дод 2'!G121+'дод 2'!G151+'дод 2'!G157+'дод 2'!G168+'дод 2'!G200+'дод 2'!G214+'дод 2'!G234+'дод 2'!G221+'дод 2'!G225+'дод 2'!G217+'дод 2'!G243</f>
        <v>320148000</v>
      </c>
      <c r="G18" s="75">
        <f>'дод 2'!H21+'дод 2'!H58+'дод 2'!H106+'дод 2'!H121+'дод 2'!H151+'дод 2'!H157+'дод 2'!H168+'дод 2'!H200+'дод 2'!H214+'дод 2'!H234+'дод 2'!H221+'дод 2'!H225+'дод 2'!H217+'дод 2'!H243</f>
        <v>11069700</v>
      </c>
      <c r="H18" s="75">
        <f>'дод 2'!I21+'дод 2'!I58+'дод 2'!I106+'дод 2'!I121+'дод 2'!I151+'дод 2'!I157+'дод 2'!I168+'дод 2'!I200+'дод 2'!I214+'дод 2'!I234+'дод 2'!I221+'дод 2'!I225+'дод 2'!I217+'дод 2'!I243</f>
        <v>0</v>
      </c>
      <c r="I18" s="75">
        <f>'дод 2'!J21+'дод 2'!J58+'дод 2'!J106+'дод 2'!J121+'дод 2'!J151+'дод 2'!J157+'дод 2'!J168+'дод 2'!J200+'дод 2'!J214+'дод 2'!J234+'дод 2'!J221+'дод 2'!J225+'дод 2'!J217+'дод 2'!J243</f>
        <v>102727519.01999998</v>
      </c>
      <c r="J18" s="75">
        <f>'дод 2'!K21+'дод 2'!K58+'дод 2'!K106+'дод 2'!K121+'дод 2'!K151+'дод 2'!K157+'дод 2'!K168+'дод 2'!K200+'дод 2'!K214+'дод 2'!K234+'дод 2'!K221+'дод 2'!K225+'дод 2'!K217+'дод 2'!K243</f>
        <v>79820952.150000006</v>
      </c>
      <c r="K18" s="75">
        <f>'дод 2'!L21+'дод 2'!L58+'дод 2'!L106+'дод 2'!L121+'дод 2'!L151+'дод 2'!L157+'дод 2'!L168+'дод 2'!L200+'дод 2'!L214+'дод 2'!L234+'дод 2'!L221+'дод 2'!L225+'дод 2'!L217+'дод 2'!L243</f>
        <v>2744673.88</v>
      </c>
      <c r="L18" s="168">
        <f t="shared" ref="L18:L81" si="1">I18/D18*100</f>
        <v>24.523353614387506</v>
      </c>
      <c r="M18" s="75">
        <f>'дод 2'!N21+'дод 2'!N58+'дод 2'!N106+'дод 2'!N121+'дод 2'!N151+'дод 2'!N157+'дод 2'!N168+'дод 2'!N200+'дод 2'!N214+'дод 2'!N234+'дод 2'!N221+'дод 2'!N225+'дод 2'!N217+'дод 2'!N243</f>
        <v>1033000</v>
      </c>
      <c r="N18" s="75">
        <f>'дод 2'!O21+'дод 2'!O58+'дод 2'!O106+'дод 2'!O121+'дод 2'!O151+'дод 2'!O157+'дод 2'!O168+'дод 2'!O200+'дод 2'!O214+'дод 2'!O234+'дод 2'!O221+'дод 2'!O225+'дод 2'!O217+'дод 2'!O243</f>
        <v>633000</v>
      </c>
      <c r="O18" s="75">
        <f>'дод 2'!P21+'дод 2'!P58+'дод 2'!P106+'дод 2'!P121+'дод 2'!P151+'дод 2'!P157+'дод 2'!P168+'дод 2'!P200+'дод 2'!P214+'дод 2'!P234+'дод 2'!P221+'дод 2'!P225+'дод 2'!P217+'дод 2'!P243</f>
        <v>400000</v>
      </c>
      <c r="P18" s="75">
        <f>'дод 2'!Q21+'дод 2'!Q58+'дод 2'!Q106+'дод 2'!Q121+'дод 2'!Q151+'дод 2'!Q157+'дод 2'!Q168+'дод 2'!Q200+'дод 2'!Q214+'дод 2'!Q234+'дод 2'!Q221+'дод 2'!Q225+'дод 2'!Q217+'дод 2'!Q243</f>
        <v>0</v>
      </c>
      <c r="Q18" s="75">
        <f>'дод 2'!R21+'дод 2'!R58+'дод 2'!R106+'дод 2'!R121+'дод 2'!R151+'дод 2'!R157+'дод 2'!R168+'дод 2'!R200+'дод 2'!R214+'дод 2'!R234+'дод 2'!R221+'дод 2'!R225+'дод 2'!R217+'дод 2'!R243</f>
        <v>228200</v>
      </c>
      <c r="R18" s="75">
        <f>'дод 2'!S21+'дод 2'!S58+'дод 2'!S106+'дод 2'!S121+'дод 2'!S151+'дод 2'!S157+'дод 2'!S168+'дод 2'!S200+'дод 2'!S214+'дод 2'!S234+'дод 2'!S221+'дод 2'!S225+'дод 2'!S217+'дод 2'!S243</f>
        <v>633000</v>
      </c>
      <c r="S18" s="75">
        <f>'дод 2'!T21+'дод 2'!T58+'дод 2'!T106+'дод 2'!T121+'дод 2'!T151+'дод 2'!T157+'дод 2'!T168+'дод 2'!T200+'дод 2'!T214+'дод 2'!T234+'дод 2'!T221+'дод 2'!T225+'дод 2'!T217+'дод 2'!T243</f>
        <v>17677532.719999999</v>
      </c>
      <c r="T18" s="75">
        <f>'дод 2'!U21+'дод 2'!U58+'дод 2'!U106+'дод 2'!U121+'дод 2'!U151+'дод 2'!U157+'дод 2'!U168+'дод 2'!U200+'дод 2'!U214+'дод 2'!U234+'дод 2'!U221+'дод 2'!U225+'дод 2'!U217+'дод 2'!U243</f>
        <v>0</v>
      </c>
      <c r="U18" s="75">
        <f>'дод 2'!V21+'дод 2'!V58+'дод 2'!V106+'дод 2'!V121+'дод 2'!V151+'дод 2'!V157+'дод 2'!V168+'дод 2'!V200+'дод 2'!V214+'дод 2'!V234+'дод 2'!V221+'дод 2'!V225+'дод 2'!V217+'дод 2'!V243</f>
        <v>17506493.719999999</v>
      </c>
      <c r="V18" s="75">
        <f>'дод 2'!W21+'дод 2'!W58+'дод 2'!W106+'дод 2'!W121+'дод 2'!W151+'дод 2'!W157+'дод 2'!W168+'дод 2'!W200+'дод 2'!W214+'дод 2'!W234+'дод 2'!W221+'дод 2'!W225+'дод 2'!W217+'дод 2'!W243</f>
        <v>437914.3</v>
      </c>
      <c r="W18" s="75">
        <f>'дод 2'!X21+'дод 2'!X58+'дод 2'!X106+'дод 2'!X121+'дод 2'!X151+'дод 2'!X157+'дод 2'!X168+'дод 2'!X200+'дод 2'!X214+'дод 2'!X234+'дод 2'!X221+'дод 2'!X225+'дод 2'!X217+'дод 2'!X243</f>
        <v>55028.03</v>
      </c>
      <c r="X18" s="75">
        <f>'дод 2'!Y21+'дод 2'!Y58+'дод 2'!Y106+'дод 2'!Y121+'дод 2'!Y151+'дод 2'!Y157+'дод 2'!Y168+'дод 2'!Y200+'дод 2'!Y214+'дод 2'!Y234+'дод 2'!Y221+'дод 2'!Y225+'дод 2'!Y217+'дод 2'!Y243</f>
        <v>171039</v>
      </c>
      <c r="Y18" s="168" t="s">
        <v>520</v>
      </c>
      <c r="Z18" s="75">
        <f>'дод 2'!AA21+'дод 2'!AA58+'дод 2'!AA106+'дод 2'!AA121+'дод 2'!AA151+'дод 2'!AA157+'дод 2'!AA168+'дод 2'!AA200+'дод 2'!AA214+'дод 2'!AA234+'дод 2'!AA221+'дод 2'!AA225+'дод 2'!AA217+'дод 2'!AA243</f>
        <v>120405051.73999999</v>
      </c>
      <c r="AA18" s="75">
        <f>'дод 2'!AB21+'дод 2'!AB58+'дод 2'!AB106+'дод 2'!AB121+'дод 2'!AB151+'дод 2'!AB157+'дод 2'!AB168+'дод 2'!AB200+'дод 2'!AB214+'дод 2'!AB234+'дод 2'!AB221+'дод 2'!AB225+'дод 2'!AB217+'дод 2'!AB243</f>
        <v>419929700</v>
      </c>
      <c r="AB18" s="70"/>
      <c r="AC18" s="214"/>
    </row>
    <row r="19" spans="1:29" ht="22.5" customHeight="1" x14ac:dyDescent="0.25">
      <c r="A19" s="73" t="s">
        <v>37</v>
      </c>
      <c r="B19" s="73" t="s">
        <v>80</v>
      </c>
      <c r="C19" s="74" t="s">
        <v>200</v>
      </c>
      <c r="D19" s="75">
        <f>'дод 2'!E22+'дод 2'!E169</f>
        <v>3200000</v>
      </c>
      <c r="E19" s="75">
        <f>'дод 2'!F22+'дод 2'!F169</f>
        <v>3200000</v>
      </c>
      <c r="F19" s="75">
        <f>'дод 2'!G22+'дод 2'!G169</f>
        <v>0</v>
      </c>
      <c r="G19" s="75">
        <f>'дод 2'!H22+'дод 2'!H169</f>
        <v>0</v>
      </c>
      <c r="H19" s="75">
        <f>'дод 2'!I22+'дод 2'!I169</f>
        <v>0</v>
      </c>
      <c r="I19" s="75">
        <f>'дод 2'!J22+'дод 2'!J169</f>
        <v>383993.54</v>
      </c>
      <c r="J19" s="75">
        <f>'дод 2'!K22+'дод 2'!K169</f>
        <v>0</v>
      </c>
      <c r="K19" s="75">
        <f>'дод 2'!L22+'дод 2'!L169</f>
        <v>0</v>
      </c>
      <c r="L19" s="168">
        <f t="shared" si="1"/>
        <v>11.999798125</v>
      </c>
      <c r="M19" s="75">
        <f>'дод 2'!N22+'дод 2'!N169</f>
        <v>0</v>
      </c>
      <c r="N19" s="75">
        <f>'дод 2'!O22+'дод 2'!O169</f>
        <v>0</v>
      </c>
      <c r="O19" s="75">
        <f>'дод 2'!P22+'дод 2'!P169</f>
        <v>0</v>
      </c>
      <c r="P19" s="75">
        <f>'дод 2'!Q22+'дод 2'!Q169</f>
        <v>0</v>
      </c>
      <c r="Q19" s="75">
        <f>'дод 2'!R22+'дод 2'!R169</f>
        <v>0</v>
      </c>
      <c r="R19" s="75">
        <f>'дод 2'!S22+'дод 2'!S169</f>
        <v>0</v>
      </c>
      <c r="S19" s="75">
        <f>'дод 2'!T22+'дод 2'!T169</f>
        <v>0</v>
      </c>
      <c r="T19" s="75">
        <f>'дод 2'!U22+'дод 2'!U169</f>
        <v>0</v>
      </c>
      <c r="U19" s="75">
        <f>'дод 2'!V22+'дод 2'!V169</f>
        <v>0</v>
      </c>
      <c r="V19" s="75">
        <f>'дод 2'!W22+'дод 2'!W169</f>
        <v>0</v>
      </c>
      <c r="W19" s="75">
        <f>'дод 2'!X22+'дод 2'!X169</f>
        <v>0</v>
      </c>
      <c r="X19" s="75">
        <f>'дод 2'!Y22+'дод 2'!Y169</f>
        <v>0</v>
      </c>
      <c r="Y19" s="168"/>
      <c r="Z19" s="75">
        <f>'дод 2'!AA22+'дод 2'!AA169</f>
        <v>383993.54</v>
      </c>
      <c r="AA19" s="75">
        <f>'дод 2'!AB22+'дод 2'!AB169</f>
        <v>3200000</v>
      </c>
      <c r="AB19" s="70"/>
      <c r="AC19" s="214"/>
    </row>
    <row r="20" spans="1:29" s="105" customFormat="1" ht="18.75" customHeight="1" x14ac:dyDescent="0.25">
      <c r="A20" s="76" t="s">
        <v>39</v>
      </c>
      <c r="B20" s="47"/>
      <c r="C20" s="71" t="s">
        <v>398</v>
      </c>
      <c r="D20" s="72">
        <f>D32+D33+D34+D35+D43+D44+D50+D51+D52+D55+D45+D36+D53+D39+D41+D48+D56+D57+D59+D71+D69+D73+D61+D67+D64+D65+D62</f>
        <v>1330183015</v>
      </c>
      <c r="E20" s="72">
        <f t="shared" ref="E20:AA20" si="2">E32+E33+E34+E35+E43+E44+E50+E51+E52+E55+E45+E36+E53+E39+E41+E48+E56+E57+E59+E71+E69+E73+E61+E67+E64+E65+E62</f>
        <v>1330183015</v>
      </c>
      <c r="F20" s="72">
        <f t="shared" si="2"/>
        <v>889650310</v>
      </c>
      <c r="G20" s="72">
        <f t="shared" si="2"/>
        <v>151937100</v>
      </c>
      <c r="H20" s="72">
        <f t="shared" si="2"/>
        <v>0</v>
      </c>
      <c r="I20" s="72">
        <f t="shared" si="2"/>
        <v>368937444.29999989</v>
      </c>
      <c r="J20" s="72">
        <f t="shared" si="2"/>
        <v>246589313.83000001</v>
      </c>
      <c r="K20" s="72">
        <f t="shared" si="2"/>
        <v>51802693.290000007</v>
      </c>
      <c r="L20" s="167">
        <f t="shared" si="1"/>
        <v>27.735840868483791</v>
      </c>
      <c r="M20" s="72">
        <f t="shared" si="2"/>
        <v>498756912.67000002</v>
      </c>
      <c r="N20" s="72">
        <f t="shared" si="2"/>
        <v>392489612.67000002</v>
      </c>
      <c r="O20" s="72">
        <f t="shared" si="2"/>
        <v>90746400</v>
      </c>
      <c r="P20" s="72">
        <f t="shared" si="2"/>
        <v>12915580</v>
      </c>
      <c r="Q20" s="72">
        <f t="shared" si="2"/>
        <v>6906830</v>
      </c>
      <c r="R20" s="72">
        <f t="shared" si="2"/>
        <v>408010512.67000002</v>
      </c>
      <c r="S20" s="72">
        <f t="shared" si="2"/>
        <v>45148149.739999995</v>
      </c>
      <c r="T20" s="72">
        <f t="shared" si="2"/>
        <v>16435304.379999999</v>
      </c>
      <c r="U20" s="72">
        <f t="shared" si="2"/>
        <v>24070220.469999999</v>
      </c>
      <c r="V20" s="72">
        <f t="shared" si="2"/>
        <v>3816430.07</v>
      </c>
      <c r="W20" s="72">
        <f t="shared" si="2"/>
        <v>1063553.67</v>
      </c>
      <c r="X20" s="72">
        <f t="shared" si="2"/>
        <v>21077929.27</v>
      </c>
      <c r="Y20" s="167">
        <f t="shared" ref="Y20:Y77" si="3">S20/M20*100</f>
        <v>9.052135136996494</v>
      </c>
      <c r="Z20" s="72">
        <f t="shared" si="2"/>
        <v>414085594.03999996</v>
      </c>
      <c r="AA20" s="72">
        <f t="shared" si="2"/>
        <v>1828939927.6700001</v>
      </c>
      <c r="AB20" s="70"/>
      <c r="AC20" s="214"/>
    </row>
    <row r="21" spans="1:29" s="109" customFormat="1" ht="28.5" customHeight="1" x14ac:dyDescent="0.25">
      <c r="A21" s="77"/>
      <c r="B21" s="48"/>
      <c r="C21" s="49" t="s">
        <v>402</v>
      </c>
      <c r="D21" s="78">
        <f>D37+D40+D42+D49+D63</f>
        <v>336977300</v>
      </c>
      <c r="E21" s="78">
        <f t="shared" ref="E21:AA21" si="4">E37+E40+E42+E49+E63</f>
        <v>336977300</v>
      </c>
      <c r="F21" s="78">
        <f t="shared" si="4"/>
        <v>276212800</v>
      </c>
      <c r="G21" s="78">
        <f t="shared" si="4"/>
        <v>0</v>
      </c>
      <c r="H21" s="78">
        <f t="shared" si="4"/>
        <v>0</v>
      </c>
      <c r="I21" s="78">
        <f t="shared" si="4"/>
        <v>114335282.84</v>
      </c>
      <c r="J21" s="78">
        <f t="shared" si="4"/>
        <v>93926956.829999998</v>
      </c>
      <c r="K21" s="78">
        <f t="shared" si="4"/>
        <v>0</v>
      </c>
      <c r="L21" s="169">
        <f t="shared" si="1"/>
        <v>33.929669102340128</v>
      </c>
      <c r="M21" s="78">
        <f t="shared" si="4"/>
        <v>15081700</v>
      </c>
      <c r="N21" s="78">
        <f t="shared" si="4"/>
        <v>0</v>
      </c>
      <c r="O21" s="78">
        <f t="shared" si="4"/>
        <v>0</v>
      </c>
      <c r="P21" s="78">
        <f t="shared" si="4"/>
        <v>0</v>
      </c>
      <c r="Q21" s="78">
        <f t="shared" si="4"/>
        <v>0</v>
      </c>
      <c r="R21" s="78">
        <f t="shared" si="4"/>
        <v>15081700</v>
      </c>
      <c r="S21" s="78">
        <f t="shared" si="4"/>
        <v>0</v>
      </c>
      <c r="T21" s="78">
        <f t="shared" si="4"/>
        <v>0</v>
      </c>
      <c r="U21" s="78">
        <f t="shared" si="4"/>
        <v>0</v>
      </c>
      <c r="V21" s="78">
        <f t="shared" si="4"/>
        <v>0</v>
      </c>
      <c r="W21" s="78">
        <f t="shared" si="4"/>
        <v>0</v>
      </c>
      <c r="X21" s="78">
        <f t="shared" si="4"/>
        <v>0</v>
      </c>
      <c r="Y21" s="169">
        <f t="shared" si="3"/>
        <v>0</v>
      </c>
      <c r="Z21" s="78">
        <f t="shared" si="4"/>
        <v>114335282.84</v>
      </c>
      <c r="AA21" s="78">
        <f t="shared" si="4"/>
        <v>352059000</v>
      </c>
      <c r="AB21" s="70"/>
      <c r="AC21" s="214"/>
    </row>
    <row r="22" spans="1:29" s="109" customFormat="1" ht="72.75" customHeight="1" x14ac:dyDescent="0.25">
      <c r="A22" s="77"/>
      <c r="B22" s="48"/>
      <c r="C22" s="49" t="str">
        <f>C58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D22" s="78">
        <f>D58</f>
        <v>2625231</v>
      </c>
      <c r="E22" s="78">
        <f t="shared" ref="E22:AA22" si="5">E58</f>
        <v>2625231</v>
      </c>
      <c r="F22" s="78">
        <f t="shared" si="5"/>
        <v>0</v>
      </c>
      <c r="G22" s="78">
        <f t="shared" si="5"/>
        <v>0</v>
      </c>
      <c r="H22" s="78">
        <f t="shared" si="5"/>
        <v>0</v>
      </c>
      <c r="I22" s="78">
        <f t="shared" si="5"/>
        <v>0</v>
      </c>
      <c r="J22" s="78">
        <f t="shared" si="5"/>
        <v>0</v>
      </c>
      <c r="K22" s="78">
        <f t="shared" si="5"/>
        <v>0</v>
      </c>
      <c r="L22" s="169">
        <f t="shared" si="1"/>
        <v>0</v>
      </c>
      <c r="M22" s="78">
        <f t="shared" si="5"/>
        <v>7677569</v>
      </c>
      <c r="N22" s="78">
        <f t="shared" si="5"/>
        <v>7677569</v>
      </c>
      <c r="O22" s="78">
        <f t="shared" si="5"/>
        <v>0</v>
      </c>
      <c r="P22" s="78">
        <f t="shared" si="5"/>
        <v>0</v>
      </c>
      <c r="Q22" s="78">
        <f t="shared" si="5"/>
        <v>0</v>
      </c>
      <c r="R22" s="78">
        <f t="shared" si="5"/>
        <v>7677569</v>
      </c>
      <c r="S22" s="78">
        <f t="shared" si="5"/>
        <v>0</v>
      </c>
      <c r="T22" s="78">
        <f t="shared" si="5"/>
        <v>0</v>
      </c>
      <c r="U22" s="78">
        <f t="shared" si="5"/>
        <v>0</v>
      </c>
      <c r="V22" s="78">
        <f t="shared" si="5"/>
        <v>0</v>
      </c>
      <c r="W22" s="78">
        <f t="shared" si="5"/>
        <v>0</v>
      </c>
      <c r="X22" s="78">
        <f t="shared" si="5"/>
        <v>0</v>
      </c>
      <c r="Y22" s="169">
        <f t="shared" si="3"/>
        <v>0</v>
      </c>
      <c r="Z22" s="78">
        <f t="shared" si="5"/>
        <v>0</v>
      </c>
      <c r="AA22" s="78">
        <f t="shared" si="5"/>
        <v>10302800</v>
      </c>
      <c r="AB22" s="70"/>
      <c r="AC22" s="214"/>
    </row>
    <row r="23" spans="1:29" s="109" customFormat="1" ht="41.85" customHeight="1" x14ac:dyDescent="0.25">
      <c r="A23" s="77"/>
      <c r="B23" s="48"/>
      <c r="C23" s="49" t="str">
        <f>C60</f>
        <v>субвенції з державного бюджету місцевим бюджетам на надання державної пітримки особам з особливими освітніми потребами</v>
      </c>
      <c r="D23" s="78">
        <f>D60</f>
        <v>891200</v>
      </c>
      <c r="E23" s="78">
        <f t="shared" ref="E23:AA23" si="6">E60</f>
        <v>891200</v>
      </c>
      <c r="F23" s="78">
        <f t="shared" si="6"/>
        <v>730490</v>
      </c>
      <c r="G23" s="78">
        <f t="shared" si="6"/>
        <v>0</v>
      </c>
      <c r="H23" s="78">
        <f t="shared" si="6"/>
        <v>0</v>
      </c>
      <c r="I23" s="78">
        <f t="shared" si="6"/>
        <v>255893.98</v>
      </c>
      <c r="J23" s="78">
        <f t="shared" si="6"/>
        <v>209749.24</v>
      </c>
      <c r="K23" s="78">
        <f t="shared" si="6"/>
        <v>0</v>
      </c>
      <c r="L23" s="169">
        <f t="shared" si="1"/>
        <v>28.713417863554756</v>
      </c>
      <c r="M23" s="78">
        <f t="shared" si="6"/>
        <v>0</v>
      </c>
      <c r="N23" s="78">
        <f t="shared" si="6"/>
        <v>0</v>
      </c>
      <c r="O23" s="78">
        <f t="shared" si="6"/>
        <v>0</v>
      </c>
      <c r="P23" s="78">
        <f t="shared" si="6"/>
        <v>0</v>
      </c>
      <c r="Q23" s="78">
        <f t="shared" si="6"/>
        <v>0</v>
      </c>
      <c r="R23" s="78">
        <f t="shared" si="6"/>
        <v>0</v>
      </c>
      <c r="S23" s="78">
        <f t="shared" si="6"/>
        <v>0</v>
      </c>
      <c r="T23" s="78">
        <f t="shared" si="6"/>
        <v>0</v>
      </c>
      <c r="U23" s="78">
        <f t="shared" si="6"/>
        <v>0</v>
      </c>
      <c r="V23" s="78">
        <f t="shared" si="6"/>
        <v>0</v>
      </c>
      <c r="W23" s="78">
        <f t="shared" si="6"/>
        <v>0</v>
      </c>
      <c r="X23" s="78">
        <f t="shared" si="6"/>
        <v>0</v>
      </c>
      <c r="Y23" s="169"/>
      <c r="Z23" s="78">
        <f t="shared" si="6"/>
        <v>255893.98</v>
      </c>
      <c r="AA23" s="78">
        <f t="shared" si="6"/>
        <v>891200</v>
      </c>
      <c r="AB23" s="70"/>
      <c r="AC23" s="214"/>
    </row>
    <row r="24" spans="1:29" s="109" customFormat="1" ht="47.25" x14ac:dyDescent="0.25">
      <c r="A24" s="77"/>
      <c r="B24" s="48"/>
      <c r="C24" s="49" t="str">
        <f>C72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D24" s="78">
        <f>D72</f>
        <v>24742100</v>
      </c>
      <c r="E24" s="78">
        <f t="shared" ref="E24:AA24" si="7">E72</f>
        <v>24742100</v>
      </c>
      <c r="F24" s="78">
        <f t="shared" si="7"/>
        <v>20280410</v>
      </c>
      <c r="G24" s="78">
        <f t="shared" si="7"/>
        <v>0</v>
      </c>
      <c r="H24" s="78">
        <f t="shared" si="7"/>
        <v>0</v>
      </c>
      <c r="I24" s="78">
        <f t="shared" si="7"/>
        <v>11741598.029999999</v>
      </c>
      <c r="J24" s="78">
        <f t="shared" si="7"/>
        <v>9662411.7799999993</v>
      </c>
      <c r="K24" s="78">
        <f t="shared" si="7"/>
        <v>0</v>
      </c>
      <c r="L24" s="169">
        <f t="shared" si="1"/>
        <v>47.455947676227964</v>
      </c>
      <c r="M24" s="78">
        <f t="shared" si="7"/>
        <v>0</v>
      </c>
      <c r="N24" s="78">
        <f t="shared" si="7"/>
        <v>0</v>
      </c>
      <c r="O24" s="78">
        <f t="shared" si="7"/>
        <v>0</v>
      </c>
      <c r="P24" s="78">
        <f t="shared" si="7"/>
        <v>0</v>
      </c>
      <c r="Q24" s="78">
        <f t="shared" si="7"/>
        <v>0</v>
      </c>
      <c r="R24" s="78">
        <f t="shared" si="7"/>
        <v>0</v>
      </c>
      <c r="S24" s="78">
        <f t="shared" si="7"/>
        <v>0</v>
      </c>
      <c r="T24" s="78">
        <f t="shared" si="7"/>
        <v>0</v>
      </c>
      <c r="U24" s="78">
        <f t="shared" si="7"/>
        <v>0</v>
      </c>
      <c r="V24" s="78">
        <f t="shared" si="7"/>
        <v>0</v>
      </c>
      <c r="W24" s="78">
        <f t="shared" si="7"/>
        <v>0</v>
      </c>
      <c r="X24" s="78">
        <f t="shared" si="7"/>
        <v>0</v>
      </c>
      <c r="Y24" s="169"/>
      <c r="Z24" s="78">
        <f t="shared" si="7"/>
        <v>11741598.029999999</v>
      </c>
      <c r="AA24" s="78">
        <f t="shared" si="7"/>
        <v>24742100</v>
      </c>
      <c r="AB24" s="70"/>
      <c r="AC24" s="214"/>
    </row>
    <row r="25" spans="1:29" s="109" customFormat="1" ht="47.25" x14ac:dyDescent="0.25">
      <c r="A25" s="77"/>
      <c r="B25" s="48"/>
      <c r="C25" s="49" t="str">
        <f>C70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D25" s="78">
        <f>D70</f>
        <v>0</v>
      </c>
      <c r="E25" s="78">
        <f t="shared" ref="E25:AA25" si="8">E70</f>
        <v>0</v>
      </c>
      <c r="F25" s="78">
        <f t="shared" si="8"/>
        <v>0</v>
      </c>
      <c r="G25" s="78">
        <f t="shared" si="8"/>
        <v>0</v>
      </c>
      <c r="H25" s="78">
        <f t="shared" si="8"/>
        <v>0</v>
      </c>
      <c r="I25" s="78">
        <f t="shared" si="8"/>
        <v>0</v>
      </c>
      <c r="J25" s="78">
        <f t="shared" si="8"/>
        <v>0</v>
      </c>
      <c r="K25" s="78">
        <f t="shared" si="8"/>
        <v>0</v>
      </c>
      <c r="L25" s="169"/>
      <c r="M25" s="78">
        <f t="shared" si="8"/>
        <v>22533600</v>
      </c>
      <c r="N25" s="78">
        <f t="shared" si="8"/>
        <v>0</v>
      </c>
      <c r="O25" s="78">
        <f t="shared" si="8"/>
        <v>22533600</v>
      </c>
      <c r="P25" s="78">
        <f t="shared" si="8"/>
        <v>0</v>
      </c>
      <c r="Q25" s="78">
        <f t="shared" si="8"/>
        <v>0</v>
      </c>
      <c r="R25" s="78">
        <f t="shared" si="8"/>
        <v>0</v>
      </c>
      <c r="S25" s="78">
        <f t="shared" si="8"/>
        <v>2409535.29</v>
      </c>
      <c r="T25" s="78">
        <f t="shared" si="8"/>
        <v>0</v>
      </c>
      <c r="U25" s="78">
        <f t="shared" si="8"/>
        <v>2409535.29</v>
      </c>
      <c r="V25" s="78">
        <f t="shared" si="8"/>
        <v>0</v>
      </c>
      <c r="W25" s="78">
        <f t="shared" si="8"/>
        <v>0</v>
      </c>
      <c r="X25" s="78">
        <f t="shared" si="8"/>
        <v>0</v>
      </c>
      <c r="Y25" s="169">
        <f t="shared" si="3"/>
        <v>10.693077404409415</v>
      </c>
      <c r="Z25" s="78">
        <f t="shared" si="8"/>
        <v>2409535.29</v>
      </c>
      <c r="AA25" s="78">
        <f t="shared" si="8"/>
        <v>22533600</v>
      </c>
      <c r="AB25" s="70"/>
      <c r="AC25" s="214"/>
    </row>
    <row r="26" spans="1:29" s="109" customFormat="1" ht="110.25" x14ac:dyDescent="0.25">
      <c r="A26" s="77"/>
      <c r="B26" s="48"/>
      <c r="C26" s="49" t="str">
        <f>C46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26" s="78">
        <f t="shared" ref="D26" si="9">D46+D68</f>
        <v>0</v>
      </c>
      <c r="E26" s="78">
        <f t="shared" ref="E26:AA26" si="10">E46+E68</f>
        <v>0</v>
      </c>
      <c r="F26" s="78">
        <f t="shared" si="10"/>
        <v>0</v>
      </c>
      <c r="G26" s="78">
        <f t="shared" si="10"/>
        <v>0</v>
      </c>
      <c r="H26" s="78">
        <f t="shared" si="10"/>
        <v>0</v>
      </c>
      <c r="I26" s="78">
        <f t="shared" si="10"/>
        <v>0</v>
      </c>
      <c r="J26" s="78">
        <f t="shared" si="10"/>
        <v>0</v>
      </c>
      <c r="K26" s="78">
        <f t="shared" si="10"/>
        <v>0</v>
      </c>
      <c r="L26" s="169"/>
      <c r="M26" s="78">
        <f t="shared" si="10"/>
        <v>35673973.670000002</v>
      </c>
      <c r="N26" s="78">
        <f t="shared" si="10"/>
        <v>35673973.670000002</v>
      </c>
      <c r="O26" s="78">
        <f t="shared" si="10"/>
        <v>0</v>
      </c>
      <c r="P26" s="78">
        <f t="shared" si="10"/>
        <v>0</v>
      </c>
      <c r="Q26" s="78">
        <f t="shared" si="10"/>
        <v>0</v>
      </c>
      <c r="R26" s="78">
        <f t="shared" si="10"/>
        <v>35673973.670000002</v>
      </c>
      <c r="S26" s="78">
        <f t="shared" si="10"/>
        <v>4618853.38</v>
      </c>
      <c r="T26" s="78">
        <f t="shared" si="10"/>
        <v>4618853.38</v>
      </c>
      <c r="U26" s="78">
        <f t="shared" si="10"/>
        <v>0</v>
      </c>
      <c r="V26" s="78">
        <f t="shared" si="10"/>
        <v>0</v>
      </c>
      <c r="W26" s="78">
        <f t="shared" si="10"/>
        <v>0</v>
      </c>
      <c r="X26" s="78">
        <f t="shared" si="10"/>
        <v>4618853.38</v>
      </c>
      <c r="Y26" s="169">
        <f t="shared" si="3"/>
        <v>12.947403680695713</v>
      </c>
      <c r="Z26" s="78">
        <f t="shared" si="10"/>
        <v>4618853.38</v>
      </c>
      <c r="AA26" s="78">
        <f t="shared" si="10"/>
        <v>35673973.670000002</v>
      </c>
      <c r="AB26" s="70"/>
      <c r="AC26" s="214"/>
    </row>
    <row r="27" spans="1:29" s="109" customFormat="1" ht="69.75" customHeight="1" x14ac:dyDescent="0.25">
      <c r="A27" s="77"/>
      <c r="B27" s="48"/>
      <c r="C27" s="49" t="str">
        <f>C74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7" s="78">
        <f>D74</f>
        <v>0</v>
      </c>
      <c r="E27" s="78">
        <f t="shared" ref="E27:AA27" si="11">E74</f>
        <v>0</v>
      </c>
      <c r="F27" s="78">
        <f t="shared" si="11"/>
        <v>0</v>
      </c>
      <c r="G27" s="78">
        <f t="shared" si="11"/>
        <v>0</v>
      </c>
      <c r="H27" s="78">
        <f t="shared" si="11"/>
        <v>0</v>
      </c>
      <c r="I27" s="78">
        <f t="shared" si="11"/>
        <v>0</v>
      </c>
      <c r="J27" s="78">
        <f t="shared" si="11"/>
        <v>0</v>
      </c>
      <c r="K27" s="78">
        <f t="shared" si="11"/>
        <v>0</v>
      </c>
      <c r="L27" s="169"/>
      <c r="M27" s="78">
        <f t="shared" si="11"/>
        <v>2892900</v>
      </c>
      <c r="N27" s="78">
        <f t="shared" si="11"/>
        <v>0</v>
      </c>
      <c r="O27" s="78">
        <f t="shared" si="11"/>
        <v>2892900</v>
      </c>
      <c r="P27" s="78">
        <f t="shared" si="11"/>
        <v>0</v>
      </c>
      <c r="Q27" s="78">
        <f t="shared" si="11"/>
        <v>0</v>
      </c>
      <c r="R27" s="78">
        <f t="shared" si="11"/>
        <v>0</v>
      </c>
      <c r="S27" s="78">
        <f t="shared" si="11"/>
        <v>1052461.45</v>
      </c>
      <c r="T27" s="78">
        <f t="shared" si="11"/>
        <v>0</v>
      </c>
      <c r="U27" s="78">
        <f t="shared" si="11"/>
        <v>1052461.45</v>
      </c>
      <c r="V27" s="78">
        <f t="shared" si="11"/>
        <v>0</v>
      </c>
      <c r="W27" s="78">
        <f t="shared" si="11"/>
        <v>0</v>
      </c>
      <c r="X27" s="78">
        <f t="shared" si="11"/>
        <v>0</v>
      </c>
      <c r="Y27" s="169">
        <f t="shared" si="3"/>
        <v>36.380844481316323</v>
      </c>
      <c r="Z27" s="78">
        <f>Z74</f>
        <v>1052461.45</v>
      </c>
      <c r="AA27" s="78">
        <f t="shared" si="11"/>
        <v>2892900</v>
      </c>
      <c r="AB27" s="70"/>
      <c r="AC27" s="214"/>
    </row>
    <row r="28" spans="1:29" s="119" customFormat="1" ht="55.5" customHeight="1" x14ac:dyDescent="0.25">
      <c r="A28" s="77"/>
      <c r="B28" s="48"/>
      <c r="C28" s="49" t="str">
        <f>C75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8" s="78">
        <f>D75</f>
        <v>0</v>
      </c>
      <c r="E28" s="78">
        <f t="shared" ref="E28:AA28" si="12">E75</f>
        <v>0</v>
      </c>
      <c r="F28" s="78">
        <f t="shared" si="12"/>
        <v>0</v>
      </c>
      <c r="G28" s="78">
        <f t="shared" si="12"/>
        <v>0</v>
      </c>
      <c r="H28" s="78">
        <f t="shared" si="12"/>
        <v>0</v>
      </c>
      <c r="I28" s="78">
        <f t="shared" si="12"/>
        <v>0</v>
      </c>
      <c r="J28" s="78">
        <f t="shared" si="12"/>
        <v>0</v>
      </c>
      <c r="K28" s="78">
        <f t="shared" si="12"/>
        <v>0</v>
      </c>
      <c r="L28" s="169"/>
      <c r="M28" s="78">
        <f t="shared" si="12"/>
        <v>2892900</v>
      </c>
      <c r="N28" s="78">
        <f t="shared" si="12"/>
        <v>0</v>
      </c>
      <c r="O28" s="78">
        <f t="shared" si="12"/>
        <v>2892900</v>
      </c>
      <c r="P28" s="78">
        <f t="shared" si="12"/>
        <v>0</v>
      </c>
      <c r="Q28" s="78">
        <f t="shared" si="12"/>
        <v>0</v>
      </c>
      <c r="R28" s="78">
        <f t="shared" si="12"/>
        <v>0</v>
      </c>
      <c r="S28" s="78">
        <f t="shared" si="12"/>
        <v>0</v>
      </c>
      <c r="T28" s="78">
        <f t="shared" si="12"/>
        <v>0</v>
      </c>
      <c r="U28" s="78">
        <f t="shared" si="12"/>
        <v>0</v>
      </c>
      <c r="V28" s="78">
        <f t="shared" si="12"/>
        <v>0</v>
      </c>
      <c r="W28" s="78">
        <f t="shared" si="12"/>
        <v>0</v>
      </c>
      <c r="X28" s="78">
        <f t="shared" si="12"/>
        <v>0</v>
      </c>
      <c r="Y28" s="169">
        <f t="shared" si="3"/>
        <v>0</v>
      </c>
      <c r="Z28" s="78">
        <f t="shared" si="12"/>
        <v>0</v>
      </c>
      <c r="AA28" s="78">
        <f t="shared" si="12"/>
        <v>2892900</v>
      </c>
      <c r="AB28" s="70"/>
      <c r="AC28" s="214"/>
    </row>
    <row r="29" spans="1:29" s="109" customFormat="1" ht="99" customHeight="1" x14ac:dyDescent="0.25">
      <c r="A29" s="77"/>
      <c r="B29" s="48"/>
      <c r="C29" s="49" t="str">
        <f>C66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D29" s="78">
        <f>D66</f>
        <v>0</v>
      </c>
      <c r="E29" s="78">
        <f t="shared" ref="E29:AA29" si="13">E66</f>
        <v>0</v>
      </c>
      <c r="F29" s="78">
        <f t="shared" si="13"/>
        <v>0</v>
      </c>
      <c r="G29" s="78">
        <f t="shared" si="13"/>
        <v>0</v>
      </c>
      <c r="H29" s="78">
        <f t="shared" si="13"/>
        <v>0</v>
      </c>
      <c r="I29" s="78">
        <f t="shared" si="13"/>
        <v>0</v>
      </c>
      <c r="J29" s="78">
        <f t="shared" si="13"/>
        <v>0</v>
      </c>
      <c r="K29" s="78">
        <f t="shared" si="13"/>
        <v>0</v>
      </c>
      <c r="L29" s="169"/>
      <c r="M29" s="78">
        <f t="shared" si="13"/>
        <v>213902286</v>
      </c>
      <c r="N29" s="78">
        <f t="shared" si="13"/>
        <v>213902286</v>
      </c>
      <c r="O29" s="78">
        <f t="shared" si="13"/>
        <v>0</v>
      </c>
      <c r="P29" s="78">
        <f t="shared" si="13"/>
        <v>0</v>
      </c>
      <c r="Q29" s="78">
        <f t="shared" si="13"/>
        <v>0</v>
      </c>
      <c r="R29" s="78">
        <f t="shared" si="13"/>
        <v>213902286</v>
      </c>
      <c r="S29" s="78">
        <f t="shared" si="13"/>
        <v>0</v>
      </c>
      <c r="T29" s="78">
        <f t="shared" si="13"/>
        <v>0</v>
      </c>
      <c r="U29" s="78">
        <f t="shared" si="13"/>
        <v>0</v>
      </c>
      <c r="V29" s="78">
        <f t="shared" si="13"/>
        <v>0</v>
      </c>
      <c r="W29" s="78">
        <f t="shared" si="13"/>
        <v>0</v>
      </c>
      <c r="X29" s="78">
        <f t="shared" si="13"/>
        <v>0</v>
      </c>
      <c r="Y29" s="169">
        <f t="shared" si="3"/>
        <v>0</v>
      </c>
      <c r="Z29" s="78">
        <f t="shared" si="13"/>
        <v>0</v>
      </c>
      <c r="AA29" s="78">
        <f t="shared" si="13"/>
        <v>213902286</v>
      </c>
      <c r="AB29" s="70"/>
      <c r="AC29" s="214"/>
    </row>
    <row r="30" spans="1:29" s="109" customFormat="1" ht="47.25" x14ac:dyDescent="0.25">
      <c r="A30" s="77"/>
      <c r="B30" s="48"/>
      <c r="C30" s="113" t="str">
        <f>C38</f>
        <v>субвенції з місцевого бюджету на здійснення переданих видатків у сфері освіти за рахунок коштів освітньої субвенції</v>
      </c>
      <c r="D30" s="78">
        <f>D38+D54</f>
        <v>3536117</v>
      </c>
      <c r="E30" s="78">
        <f t="shared" ref="E30:AA30" si="14">E38+E54</f>
        <v>3536117</v>
      </c>
      <c r="F30" s="78">
        <f t="shared" si="14"/>
        <v>1176210</v>
      </c>
      <c r="G30" s="78">
        <f t="shared" si="14"/>
        <v>0</v>
      </c>
      <c r="H30" s="78">
        <f t="shared" si="14"/>
        <v>0</v>
      </c>
      <c r="I30" s="78">
        <f t="shared" si="14"/>
        <v>1001444.33</v>
      </c>
      <c r="J30" s="78">
        <f t="shared" si="14"/>
        <v>376581.07</v>
      </c>
      <c r="K30" s="78">
        <f t="shared" si="14"/>
        <v>0</v>
      </c>
      <c r="L30" s="169">
        <f t="shared" si="1"/>
        <v>28.320452349285951</v>
      </c>
      <c r="M30" s="78">
        <f t="shared" si="14"/>
        <v>0</v>
      </c>
      <c r="N30" s="78">
        <f t="shared" si="14"/>
        <v>0</v>
      </c>
      <c r="O30" s="78">
        <f t="shared" si="14"/>
        <v>0</v>
      </c>
      <c r="P30" s="78">
        <f t="shared" si="14"/>
        <v>0</v>
      </c>
      <c r="Q30" s="78">
        <f t="shared" si="14"/>
        <v>0</v>
      </c>
      <c r="R30" s="78">
        <f t="shared" si="14"/>
        <v>0</v>
      </c>
      <c r="S30" s="78">
        <f t="shared" si="14"/>
        <v>0</v>
      </c>
      <c r="T30" s="78">
        <f t="shared" si="14"/>
        <v>0</v>
      </c>
      <c r="U30" s="78">
        <f t="shared" si="14"/>
        <v>0</v>
      </c>
      <c r="V30" s="78">
        <f t="shared" si="14"/>
        <v>0</v>
      </c>
      <c r="W30" s="78">
        <f t="shared" si="14"/>
        <v>0</v>
      </c>
      <c r="X30" s="78">
        <f t="shared" si="14"/>
        <v>0</v>
      </c>
      <c r="Y30" s="169"/>
      <c r="Z30" s="78">
        <f t="shared" si="14"/>
        <v>1001444.33</v>
      </c>
      <c r="AA30" s="78">
        <f t="shared" si="14"/>
        <v>3536117</v>
      </c>
      <c r="AB30" s="70"/>
      <c r="AC30" s="214"/>
    </row>
    <row r="31" spans="1:29" s="119" customFormat="1" ht="32.85" customHeight="1" x14ac:dyDescent="0.25">
      <c r="A31" s="77"/>
      <c r="B31" s="48"/>
      <c r="C31" s="113" t="str">
        <f>C47</f>
        <v>іншої субвенції з місцевого бюджету</v>
      </c>
      <c r="D31" s="78">
        <f>D47</f>
        <v>0</v>
      </c>
      <c r="E31" s="78">
        <f t="shared" ref="E31:AA31" si="15">E47</f>
        <v>0</v>
      </c>
      <c r="F31" s="78">
        <f t="shared" si="15"/>
        <v>0</v>
      </c>
      <c r="G31" s="78">
        <f t="shared" si="15"/>
        <v>0</v>
      </c>
      <c r="H31" s="78">
        <f t="shared" si="15"/>
        <v>0</v>
      </c>
      <c r="I31" s="78">
        <f t="shared" si="15"/>
        <v>0</v>
      </c>
      <c r="J31" s="78">
        <f t="shared" si="15"/>
        <v>0</v>
      </c>
      <c r="K31" s="78">
        <f t="shared" si="15"/>
        <v>0</v>
      </c>
      <c r="L31" s="169"/>
      <c r="M31" s="78">
        <f t="shared" si="15"/>
        <v>4500000</v>
      </c>
      <c r="N31" s="78">
        <f t="shared" si="15"/>
        <v>4500000</v>
      </c>
      <c r="O31" s="78">
        <f t="shared" si="15"/>
        <v>0</v>
      </c>
      <c r="P31" s="78">
        <f t="shared" si="15"/>
        <v>0</v>
      </c>
      <c r="Q31" s="78">
        <f t="shared" si="15"/>
        <v>0</v>
      </c>
      <c r="R31" s="78">
        <f t="shared" si="15"/>
        <v>4500000</v>
      </c>
      <c r="S31" s="78">
        <f t="shared" si="15"/>
        <v>0</v>
      </c>
      <c r="T31" s="78">
        <f t="shared" si="15"/>
        <v>0</v>
      </c>
      <c r="U31" s="78">
        <f t="shared" si="15"/>
        <v>0</v>
      </c>
      <c r="V31" s="78">
        <f t="shared" si="15"/>
        <v>0</v>
      </c>
      <c r="W31" s="78">
        <f t="shared" si="15"/>
        <v>0</v>
      </c>
      <c r="X31" s="78">
        <f t="shared" si="15"/>
        <v>0</v>
      </c>
      <c r="Y31" s="169">
        <f t="shared" si="3"/>
        <v>0</v>
      </c>
      <c r="Z31" s="78">
        <f t="shared" si="15"/>
        <v>0</v>
      </c>
      <c r="AA31" s="78">
        <f t="shared" si="15"/>
        <v>4500000</v>
      </c>
      <c r="AB31" s="70"/>
      <c r="AC31" s="214"/>
    </row>
    <row r="32" spans="1:29" ht="23.25" customHeight="1" x14ac:dyDescent="0.25">
      <c r="A32" s="73" t="s">
        <v>40</v>
      </c>
      <c r="B32" s="73" t="s">
        <v>41</v>
      </c>
      <c r="C32" s="74" t="s">
        <v>316</v>
      </c>
      <c r="D32" s="75">
        <f>'дод 2'!E59</f>
        <v>372792900</v>
      </c>
      <c r="E32" s="75">
        <f>'дод 2'!F59</f>
        <v>372792900</v>
      </c>
      <c r="F32" s="75">
        <f>'дод 2'!G59</f>
        <v>253895000</v>
      </c>
      <c r="G32" s="75">
        <f>'дод 2'!H59</f>
        <v>47086600</v>
      </c>
      <c r="H32" s="75">
        <f>'дод 2'!I59</f>
        <v>0</v>
      </c>
      <c r="I32" s="75">
        <f>'дод 2'!J59</f>
        <v>93980137.590000004</v>
      </c>
      <c r="J32" s="75">
        <f>'дод 2'!K59</f>
        <v>60410343.119999997</v>
      </c>
      <c r="K32" s="75">
        <f>'дод 2'!L59</f>
        <v>16025140.35</v>
      </c>
      <c r="L32" s="168">
        <f t="shared" si="1"/>
        <v>25.209744496206877</v>
      </c>
      <c r="M32" s="75">
        <f>'дод 2'!N59</f>
        <v>17052030</v>
      </c>
      <c r="N32" s="75">
        <f>'дод 2'!O59</f>
        <v>0</v>
      </c>
      <c r="O32" s="75">
        <f>'дод 2'!P59</f>
        <v>17052030</v>
      </c>
      <c r="P32" s="75">
        <f>'дод 2'!Q59</f>
        <v>0</v>
      </c>
      <c r="Q32" s="75">
        <f>'дод 2'!R59</f>
        <v>0</v>
      </c>
      <c r="R32" s="75">
        <f>'дод 2'!S59</f>
        <v>0</v>
      </c>
      <c r="S32" s="75">
        <f>'дод 2'!T59</f>
        <v>2933307.42</v>
      </c>
      <c r="T32" s="75">
        <f>'дод 2'!U59</f>
        <v>0</v>
      </c>
      <c r="U32" s="75">
        <f>'дод 2'!V59</f>
        <v>2933307.42</v>
      </c>
      <c r="V32" s="75">
        <f>'дод 2'!W59</f>
        <v>403709.17</v>
      </c>
      <c r="W32" s="75">
        <f>'дод 2'!X59</f>
        <v>0</v>
      </c>
      <c r="X32" s="75">
        <f>'дод 2'!Y59</f>
        <v>0</v>
      </c>
      <c r="Y32" s="168">
        <f t="shared" si="3"/>
        <v>17.202100981525366</v>
      </c>
      <c r="Z32" s="75">
        <f>'дод 2'!AA59</f>
        <v>96913445.010000005</v>
      </c>
      <c r="AA32" s="75">
        <f>'дод 2'!AB59</f>
        <v>389844930</v>
      </c>
      <c r="AB32" s="221">
        <v>2</v>
      </c>
      <c r="AC32" s="214"/>
    </row>
    <row r="33" spans="1:29" ht="31.5" customHeight="1" x14ac:dyDescent="0.25">
      <c r="A33" s="73">
        <v>1021</v>
      </c>
      <c r="B33" s="73" t="s">
        <v>43</v>
      </c>
      <c r="C33" s="43" t="s">
        <v>369</v>
      </c>
      <c r="D33" s="75">
        <f>'дод 2'!E60</f>
        <v>276296660</v>
      </c>
      <c r="E33" s="75">
        <f>'дод 2'!F60</f>
        <v>276296660</v>
      </c>
      <c r="F33" s="75">
        <f>'дод 2'!G60</f>
        <v>145056200</v>
      </c>
      <c r="G33" s="75">
        <f>'дод 2'!H60</f>
        <v>65222400</v>
      </c>
      <c r="H33" s="75">
        <f>'дод 2'!I60</f>
        <v>0</v>
      </c>
      <c r="I33" s="75">
        <f>'дод 2'!J60</f>
        <v>72123582.659999996</v>
      </c>
      <c r="J33" s="75">
        <f>'дод 2'!K60</f>
        <v>36500081.5</v>
      </c>
      <c r="K33" s="75">
        <f>'дод 2'!L60</f>
        <v>22943271.530000001</v>
      </c>
      <c r="L33" s="168">
        <f t="shared" si="1"/>
        <v>26.103675180148755</v>
      </c>
      <c r="M33" s="75">
        <f>'дод 2'!N60</f>
        <v>26849410</v>
      </c>
      <c r="N33" s="75">
        <f>'дод 2'!O60</f>
        <v>6654000</v>
      </c>
      <c r="O33" s="75">
        <f>'дод 2'!P60</f>
        <v>20195410</v>
      </c>
      <c r="P33" s="75">
        <f>'дод 2'!Q60</f>
        <v>2627920</v>
      </c>
      <c r="Q33" s="75">
        <f>'дод 2'!R60</f>
        <v>244330</v>
      </c>
      <c r="R33" s="75">
        <f>'дод 2'!S60</f>
        <v>6654000</v>
      </c>
      <c r="S33" s="75">
        <f>'дод 2'!T60</f>
        <v>16566581.529999999</v>
      </c>
      <c r="T33" s="75">
        <f>'дод 2'!U60</f>
        <v>19224</v>
      </c>
      <c r="U33" s="75">
        <f>'дод 2'!V60</f>
        <v>12095812.289999999</v>
      </c>
      <c r="V33" s="75">
        <f>'дод 2'!W60</f>
        <v>1605538.75</v>
      </c>
      <c r="W33" s="75">
        <f>'дод 2'!X60</f>
        <v>933.26</v>
      </c>
      <c r="X33" s="75">
        <f>'дод 2'!Y60</f>
        <v>4470769.24</v>
      </c>
      <c r="Y33" s="168">
        <f t="shared" si="3"/>
        <v>61.701845701637396</v>
      </c>
      <c r="Z33" s="75">
        <f>'дод 2'!AA60</f>
        <v>88690164.189999998</v>
      </c>
      <c r="AA33" s="75">
        <f>'дод 2'!AB60</f>
        <v>303146070</v>
      </c>
      <c r="AB33" s="221"/>
      <c r="AC33" s="214"/>
    </row>
    <row r="34" spans="1:29" ht="74.25" customHeight="1" x14ac:dyDescent="0.25">
      <c r="A34" s="73">
        <v>1022</v>
      </c>
      <c r="B34" s="41" t="s">
        <v>46</v>
      </c>
      <c r="C34" s="43" t="s">
        <v>365</v>
      </c>
      <c r="D34" s="75">
        <f>'дод 2'!E61</f>
        <v>18577200</v>
      </c>
      <c r="E34" s="75">
        <f>'дод 2'!F61</f>
        <v>18577200</v>
      </c>
      <c r="F34" s="75">
        <f>'дод 2'!G61</f>
        <v>11223500</v>
      </c>
      <c r="G34" s="75">
        <f>'дод 2'!H61</f>
        <v>3058200</v>
      </c>
      <c r="H34" s="75">
        <f>'дод 2'!I61</f>
        <v>0</v>
      </c>
      <c r="I34" s="75">
        <f>'дод 2'!J61</f>
        <v>4493675.43</v>
      </c>
      <c r="J34" s="75">
        <f>'дод 2'!K61</f>
        <v>2717385.12</v>
      </c>
      <c r="K34" s="75">
        <f>'дод 2'!L61</f>
        <v>981313.13</v>
      </c>
      <c r="L34" s="168">
        <f t="shared" si="1"/>
        <v>24.189196595827141</v>
      </c>
      <c r="M34" s="75">
        <f>'дод 2'!N61</f>
        <v>0</v>
      </c>
      <c r="N34" s="75">
        <f>'дод 2'!O61</f>
        <v>0</v>
      </c>
      <c r="O34" s="75">
        <f>'дод 2'!P61</f>
        <v>0</v>
      </c>
      <c r="P34" s="75">
        <f>'дод 2'!Q61</f>
        <v>0</v>
      </c>
      <c r="Q34" s="75">
        <f>'дод 2'!R61</f>
        <v>0</v>
      </c>
      <c r="R34" s="75">
        <f>'дод 2'!S61</f>
        <v>0</v>
      </c>
      <c r="S34" s="75">
        <f>'дод 2'!T61</f>
        <v>341239.83999999997</v>
      </c>
      <c r="T34" s="75">
        <f>'дод 2'!U61</f>
        <v>0</v>
      </c>
      <c r="U34" s="75">
        <f>'дод 2'!V61</f>
        <v>239275.58</v>
      </c>
      <c r="V34" s="75">
        <f>'дод 2'!W61</f>
        <v>75728.47</v>
      </c>
      <c r="W34" s="75">
        <f>'дод 2'!X61</f>
        <v>0</v>
      </c>
      <c r="X34" s="75">
        <f>'дод 2'!Y61</f>
        <v>101964.26</v>
      </c>
      <c r="Y34" s="168"/>
      <c r="Z34" s="75">
        <f>'дод 2'!AA61</f>
        <v>4834915.2699999996</v>
      </c>
      <c r="AA34" s="75">
        <f>'дод 2'!AB61</f>
        <v>18577200</v>
      </c>
      <c r="AB34" s="221"/>
      <c r="AC34" s="214"/>
    </row>
    <row r="35" spans="1:29" ht="63.75" customHeight="1" x14ac:dyDescent="0.25">
      <c r="A35" s="73">
        <v>1025</v>
      </c>
      <c r="B35" s="73" t="s">
        <v>46</v>
      </c>
      <c r="C35" s="56" t="s">
        <v>366</v>
      </c>
      <c r="D35" s="75">
        <f>'дод 2'!E62</f>
        <v>13453600</v>
      </c>
      <c r="E35" s="75">
        <f>'дод 2'!F62</f>
        <v>13453600</v>
      </c>
      <c r="F35" s="75">
        <f>'дод 2'!G62</f>
        <v>9459000</v>
      </c>
      <c r="G35" s="75">
        <f>'дод 2'!H62</f>
        <v>1260200</v>
      </c>
      <c r="H35" s="75">
        <f>'дод 2'!I62</f>
        <v>0</v>
      </c>
      <c r="I35" s="75">
        <f>'дод 2'!J62</f>
        <v>3395562.2</v>
      </c>
      <c r="J35" s="75">
        <f>'дод 2'!K62</f>
        <v>2337000</v>
      </c>
      <c r="K35" s="75">
        <f>'дод 2'!L62</f>
        <v>420425.2</v>
      </c>
      <c r="L35" s="168">
        <f t="shared" si="1"/>
        <v>25.239060177201644</v>
      </c>
      <c r="M35" s="75">
        <f>'дод 2'!N62</f>
        <v>0</v>
      </c>
      <c r="N35" s="75">
        <f>'дод 2'!O62</f>
        <v>0</v>
      </c>
      <c r="O35" s="75">
        <f>'дод 2'!P62</f>
        <v>0</v>
      </c>
      <c r="P35" s="75">
        <f>'дод 2'!Q62</f>
        <v>0</v>
      </c>
      <c r="Q35" s="75">
        <f>'дод 2'!R62</f>
        <v>0</v>
      </c>
      <c r="R35" s="75">
        <f>'дод 2'!S62</f>
        <v>0</v>
      </c>
      <c r="S35" s="75">
        <f>'дод 2'!T62</f>
        <v>82288.06</v>
      </c>
      <c r="T35" s="75">
        <f>'дод 2'!U62</f>
        <v>0</v>
      </c>
      <c r="U35" s="75">
        <f>'дод 2'!V62</f>
        <v>82288.06</v>
      </c>
      <c r="V35" s="75">
        <f>'дод 2'!W62</f>
        <v>0</v>
      </c>
      <c r="W35" s="75">
        <f>'дод 2'!X62</f>
        <v>0</v>
      </c>
      <c r="X35" s="75">
        <f>'дод 2'!Y62</f>
        <v>0</v>
      </c>
      <c r="Y35" s="168"/>
      <c r="Z35" s="75">
        <f>'дод 2'!AA62</f>
        <v>3477850.2600000002</v>
      </c>
      <c r="AA35" s="75">
        <f>'дод 2'!AB62</f>
        <v>13453600</v>
      </c>
      <c r="AB35" s="221"/>
      <c r="AC35" s="214"/>
    </row>
    <row r="36" spans="1:29" ht="57.75" customHeight="1" x14ac:dyDescent="0.25">
      <c r="A36" s="73">
        <v>1031</v>
      </c>
      <c r="B36" s="73">
        <v>921</v>
      </c>
      <c r="C36" s="56" t="s">
        <v>396</v>
      </c>
      <c r="D36" s="75">
        <f>'дод 2'!E63</f>
        <v>311742647</v>
      </c>
      <c r="E36" s="75">
        <f>'дод 2'!F63</f>
        <v>311742647</v>
      </c>
      <c r="F36" s="75">
        <f>'дод 2'!G63</f>
        <v>253806400</v>
      </c>
      <c r="G36" s="75">
        <f>'дод 2'!H63</f>
        <v>0</v>
      </c>
      <c r="H36" s="75">
        <f>'дод 2'!I63</f>
        <v>0</v>
      </c>
      <c r="I36" s="75">
        <f>'дод 2'!J63</f>
        <v>106419264.62</v>
      </c>
      <c r="J36" s="75">
        <f>'дод 2'!K63</f>
        <v>86963442.329999998</v>
      </c>
      <c r="K36" s="75">
        <f>'дод 2'!L63</f>
        <v>0</v>
      </c>
      <c r="L36" s="168">
        <f t="shared" si="1"/>
        <v>34.13689645741669</v>
      </c>
      <c r="M36" s="75">
        <f>'дод 2'!N63</f>
        <v>0</v>
      </c>
      <c r="N36" s="75">
        <f>'дод 2'!O63</f>
        <v>0</v>
      </c>
      <c r="O36" s="75">
        <f>'дод 2'!P63</f>
        <v>0</v>
      </c>
      <c r="P36" s="75">
        <f>'дод 2'!Q63</f>
        <v>0</v>
      </c>
      <c r="Q36" s="75">
        <f>'дод 2'!R63</f>
        <v>0</v>
      </c>
      <c r="R36" s="75">
        <f>'дод 2'!S63</f>
        <v>0</v>
      </c>
      <c r="S36" s="75">
        <f>'дод 2'!T63</f>
        <v>0</v>
      </c>
      <c r="T36" s="75">
        <f>'дод 2'!U63</f>
        <v>0</v>
      </c>
      <c r="U36" s="75">
        <f>'дод 2'!V63</f>
        <v>0</v>
      </c>
      <c r="V36" s="75">
        <f>'дод 2'!W63</f>
        <v>0</v>
      </c>
      <c r="W36" s="75">
        <f>'дод 2'!X63</f>
        <v>0</v>
      </c>
      <c r="X36" s="75">
        <f>'дод 2'!Y63</f>
        <v>0</v>
      </c>
      <c r="Y36" s="168"/>
      <c r="Z36" s="75">
        <f>'дод 2'!AA63</f>
        <v>106419264.62</v>
      </c>
      <c r="AA36" s="75">
        <f>'дод 2'!AB63</f>
        <v>311742647</v>
      </c>
      <c r="AB36" s="221"/>
      <c r="AC36" s="214"/>
    </row>
    <row r="37" spans="1:29" ht="31.5" x14ac:dyDescent="0.25">
      <c r="A37" s="73"/>
      <c r="B37" s="73"/>
      <c r="C37" s="52" t="s">
        <v>402</v>
      </c>
      <c r="D37" s="75">
        <f>'дод 2'!E64</f>
        <v>309641500</v>
      </c>
      <c r="E37" s="75">
        <f>'дод 2'!F64</f>
        <v>309641500</v>
      </c>
      <c r="F37" s="75">
        <f>'дод 2'!G64</f>
        <v>253806400</v>
      </c>
      <c r="G37" s="75">
        <f>'дод 2'!H64</f>
        <v>0</v>
      </c>
      <c r="H37" s="75">
        <f>'дод 2'!I64</f>
        <v>0</v>
      </c>
      <c r="I37" s="75">
        <f>'дод 2'!J64</f>
        <v>105878239.55</v>
      </c>
      <c r="J37" s="75">
        <f>'дод 2'!K64</f>
        <v>86963442.329999998</v>
      </c>
      <c r="K37" s="75">
        <f>'дод 2'!L64</f>
        <v>0</v>
      </c>
      <c r="L37" s="168">
        <f t="shared" si="1"/>
        <v>34.193814314295722</v>
      </c>
      <c r="M37" s="75">
        <f>'дод 2'!N64</f>
        <v>0</v>
      </c>
      <c r="N37" s="75">
        <f>'дод 2'!O64</f>
        <v>0</v>
      </c>
      <c r="O37" s="75">
        <f>'дод 2'!P64</f>
        <v>0</v>
      </c>
      <c r="P37" s="75">
        <f>'дод 2'!Q64</f>
        <v>0</v>
      </c>
      <c r="Q37" s="75">
        <f>'дод 2'!R64</f>
        <v>0</v>
      </c>
      <c r="R37" s="75">
        <f>'дод 2'!S64</f>
        <v>0</v>
      </c>
      <c r="S37" s="75">
        <f>'дод 2'!T64</f>
        <v>0</v>
      </c>
      <c r="T37" s="75">
        <f>'дод 2'!U64</f>
        <v>0</v>
      </c>
      <c r="U37" s="75">
        <f>'дод 2'!V64</f>
        <v>0</v>
      </c>
      <c r="V37" s="75">
        <f>'дод 2'!W64</f>
        <v>0</v>
      </c>
      <c r="W37" s="75">
        <f>'дод 2'!X64</f>
        <v>0</v>
      </c>
      <c r="X37" s="75">
        <f>'дод 2'!Y64</f>
        <v>0</v>
      </c>
      <c r="Y37" s="168"/>
      <c r="Z37" s="75">
        <f>'дод 2'!AA64</f>
        <v>105878239.55</v>
      </c>
      <c r="AA37" s="75">
        <f>'дод 2'!AB64</f>
        <v>309641500</v>
      </c>
      <c r="AB37" s="221"/>
      <c r="AC37" s="214"/>
    </row>
    <row r="38" spans="1:29" s="106" customFormat="1" ht="57.75" customHeight="1" x14ac:dyDescent="0.25">
      <c r="A38" s="79"/>
      <c r="B38" s="79"/>
      <c r="C38" s="55" t="s">
        <v>395</v>
      </c>
      <c r="D38" s="80">
        <f>'дод 2'!E65</f>
        <v>2101147</v>
      </c>
      <c r="E38" s="80">
        <f>'дод 2'!F65</f>
        <v>2101147</v>
      </c>
      <c r="F38" s="80">
        <f>'дод 2'!G65</f>
        <v>0</v>
      </c>
      <c r="G38" s="80">
        <f>'дод 2'!H65</f>
        <v>0</v>
      </c>
      <c r="H38" s="80">
        <f>'дод 2'!I65</f>
        <v>0</v>
      </c>
      <c r="I38" s="80">
        <f>'дод 2'!J65</f>
        <v>541025.06999999995</v>
      </c>
      <c r="J38" s="80">
        <f>'дод 2'!K65</f>
        <v>0</v>
      </c>
      <c r="K38" s="80">
        <f>'дод 2'!L65</f>
        <v>0</v>
      </c>
      <c r="L38" s="170">
        <f t="shared" si="1"/>
        <v>25.749034693907657</v>
      </c>
      <c r="M38" s="80">
        <f>'дод 2'!N65</f>
        <v>0</v>
      </c>
      <c r="N38" s="80">
        <f>'дод 2'!O65</f>
        <v>0</v>
      </c>
      <c r="O38" s="80">
        <f>'дод 2'!P65</f>
        <v>0</v>
      </c>
      <c r="P38" s="80">
        <f>'дод 2'!Q65</f>
        <v>0</v>
      </c>
      <c r="Q38" s="80">
        <f>'дод 2'!R65</f>
        <v>0</v>
      </c>
      <c r="R38" s="80">
        <f>'дод 2'!S65</f>
        <v>0</v>
      </c>
      <c r="S38" s="80">
        <f>'дод 2'!T65</f>
        <v>0</v>
      </c>
      <c r="T38" s="80">
        <f>'дод 2'!U65</f>
        <v>0</v>
      </c>
      <c r="U38" s="80">
        <f>'дод 2'!V65</f>
        <v>0</v>
      </c>
      <c r="V38" s="80">
        <f>'дод 2'!W65</f>
        <v>0</v>
      </c>
      <c r="W38" s="80">
        <f>'дод 2'!X65</f>
        <v>0</v>
      </c>
      <c r="X38" s="80">
        <f>'дод 2'!Y65</f>
        <v>0</v>
      </c>
      <c r="Y38" s="170"/>
      <c r="Z38" s="80">
        <f>'дод 2'!AA65</f>
        <v>541025.06999999995</v>
      </c>
      <c r="AA38" s="80">
        <f>'дод 2'!AB65</f>
        <v>2101147</v>
      </c>
      <c r="AB38" s="221"/>
      <c r="AC38" s="214"/>
    </row>
    <row r="39" spans="1:29" s="106" customFormat="1" ht="88.5" customHeight="1" x14ac:dyDescent="0.25">
      <c r="A39" s="81" t="s">
        <v>404</v>
      </c>
      <c r="B39" s="81" t="s">
        <v>46</v>
      </c>
      <c r="C39" s="82" t="s">
        <v>405</v>
      </c>
      <c r="D39" s="75">
        <f>'дод 2'!E66</f>
        <v>12847200</v>
      </c>
      <c r="E39" s="75">
        <f>'дод 2'!F66</f>
        <v>12847200</v>
      </c>
      <c r="F39" s="75">
        <f>'дод 2'!G66</f>
        <v>10530500</v>
      </c>
      <c r="G39" s="75">
        <f>'дод 2'!H66</f>
        <v>0</v>
      </c>
      <c r="H39" s="75">
        <f>'дод 2'!I66</f>
        <v>0</v>
      </c>
      <c r="I39" s="75">
        <f>'дод 2'!J66</f>
        <v>3821235.08</v>
      </c>
      <c r="J39" s="75">
        <f>'дод 2'!K66</f>
        <v>3139169.65</v>
      </c>
      <c r="K39" s="75">
        <f>'дод 2'!L66</f>
        <v>0</v>
      </c>
      <c r="L39" s="168">
        <f t="shared" si="1"/>
        <v>29.743719098324927</v>
      </c>
      <c r="M39" s="75">
        <f>'дод 2'!N66</f>
        <v>0</v>
      </c>
      <c r="N39" s="75">
        <f>'дод 2'!O66</f>
        <v>0</v>
      </c>
      <c r="O39" s="75">
        <f>'дод 2'!P66</f>
        <v>0</v>
      </c>
      <c r="P39" s="75">
        <f>'дод 2'!Q66</f>
        <v>0</v>
      </c>
      <c r="Q39" s="75">
        <f>'дод 2'!R66</f>
        <v>0</v>
      </c>
      <c r="R39" s="75">
        <f>'дод 2'!S66</f>
        <v>0</v>
      </c>
      <c r="S39" s="75">
        <f>'дод 2'!T66</f>
        <v>0</v>
      </c>
      <c r="T39" s="75">
        <f>'дод 2'!U66</f>
        <v>0</v>
      </c>
      <c r="U39" s="75">
        <f>'дод 2'!V66</f>
        <v>0</v>
      </c>
      <c r="V39" s="75">
        <f>'дод 2'!W66</f>
        <v>0</v>
      </c>
      <c r="W39" s="75">
        <f>'дод 2'!X66</f>
        <v>0</v>
      </c>
      <c r="X39" s="75">
        <f>'дод 2'!Y66</f>
        <v>0</v>
      </c>
      <c r="Y39" s="168"/>
      <c r="Z39" s="75">
        <f>'дод 2'!AA66</f>
        <v>3821235.08</v>
      </c>
      <c r="AA39" s="75">
        <f>'дод 2'!AB66</f>
        <v>12847200</v>
      </c>
      <c r="AB39" s="221"/>
      <c r="AC39" s="214"/>
    </row>
    <row r="40" spans="1:29" s="106" customFormat="1" ht="31.5" x14ac:dyDescent="0.25">
      <c r="A40" s="79"/>
      <c r="B40" s="79"/>
      <c r="C40" s="55" t="s">
        <v>402</v>
      </c>
      <c r="D40" s="80">
        <f>'дод 2'!E67</f>
        <v>12847200</v>
      </c>
      <c r="E40" s="80">
        <f>'дод 2'!F67</f>
        <v>12847200</v>
      </c>
      <c r="F40" s="80">
        <f>'дод 2'!G67</f>
        <v>10530500</v>
      </c>
      <c r="G40" s="80">
        <f>'дод 2'!H67</f>
        <v>0</v>
      </c>
      <c r="H40" s="80">
        <f>'дод 2'!I67</f>
        <v>0</v>
      </c>
      <c r="I40" s="80">
        <f>'дод 2'!J67</f>
        <v>3821235.08</v>
      </c>
      <c r="J40" s="80">
        <f>'дод 2'!K67</f>
        <v>3139169.65</v>
      </c>
      <c r="K40" s="80">
        <f>'дод 2'!L67</f>
        <v>0</v>
      </c>
      <c r="L40" s="170">
        <f t="shared" si="1"/>
        <v>29.743719098324927</v>
      </c>
      <c r="M40" s="80">
        <f>'дод 2'!N67</f>
        <v>0</v>
      </c>
      <c r="N40" s="80">
        <f>'дод 2'!O67</f>
        <v>0</v>
      </c>
      <c r="O40" s="80">
        <f>'дод 2'!P67</f>
        <v>0</v>
      </c>
      <c r="P40" s="80">
        <f>'дод 2'!Q67</f>
        <v>0</v>
      </c>
      <c r="Q40" s="80">
        <f>'дод 2'!R67</f>
        <v>0</v>
      </c>
      <c r="R40" s="80">
        <f>'дод 2'!S67</f>
        <v>0</v>
      </c>
      <c r="S40" s="80">
        <f>'дод 2'!T67</f>
        <v>0</v>
      </c>
      <c r="T40" s="80">
        <f>'дод 2'!U67</f>
        <v>0</v>
      </c>
      <c r="U40" s="80">
        <f>'дод 2'!V67</f>
        <v>0</v>
      </c>
      <c r="V40" s="80">
        <f>'дод 2'!W67</f>
        <v>0</v>
      </c>
      <c r="W40" s="80">
        <f>'дод 2'!X67</f>
        <v>0</v>
      </c>
      <c r="X40" s="80">
        <f>'дод 2'!Y67</f>
        <v>0</v>
      </c>
      <c r="Y40" s="170"/>
      <c r="Z40" s="80">
        <f>'дод 2'!AA67</f>
        <v>3821235.08</v>
      </c>
      <c r="AA40" s="80">
        <f>'дод 2'!AB67</f>
        <v>12847200</v>
      </c>
      <c r="AB40" s="221"/>
      <c r="AC40" s="214"/>
    </row>
    <row r="41" spans="1:29" ht="71.099999999999994" customHeight="1" x14ac:dyDescent="0.25">
      <c r="A41" s="73">
        <v>1035</v>
      </c>
      <c r="B41" s="73" t="s">
        <v>46</v>
      </c>
      <c r="C41" s="43" t="s">
        <v>406</v>
      </c>
      <c r="D41" s="75">
        <f>'дод 2'!E68</f>
        <v>1068600</v>
      </c>
      <c r="E41" s="75">
        <f>'дод 2'!F68</f>
        <v>1068600</v>
      </c>
      <c r="F41" s="75">
        <f>'дод 2'!G68</f>
        <v>875900</v>
      </c>
      <c r="G41" s="75">
        <f>'дод 2'!H68</f>
        <v>0</v>
      </c>
      <c r="H41" s="75">
        <f>'дод 2'!I68</f>
        <v>0</v>
      </c>
      <c r="I41" s="75">
        <f>'дод 2'!J68</f>
        <v>296262.95</v>
      </c>
      <c r="J41" s="75">
        <f>'дод 2'!K68</f>
        <v>245481.21</v>
      </c>
      <c r="K41" s="75">
        <f>'дод 2'!L68</f>
        <v>0</v>
      </c>
      <c r="L41" s="168">
        <f t="shared" si="1"/>
        <v>27.724401085532474</v>
      </c>
      <c r="M41" s="75">
        <f>'дод 2'!N68</f>
        <v>0</v>
      </c>
      <c r="N41" s="75">
        <f>'дод 2'!O68</f>
        <v>0</v>
      </c>
      <c r="O41" s="75">
        <f>'дод 2'!P68</f>
        <v>0</v>
      </c>
      <c r="P41" s="75">
        <f>'дод 2'!Q68</f>
        <v>0</v>
      </c>
      <c r="Q41" s="75">
        <f>'дод 2'!R68</f>
        <v>0</v>
      </c>
      <c r="R41" s="75">
        <f>'дод 2'!S68</f>
        <v>0</v>
      </c>
      <c r="S41" s="75">
        <f>'дод 2'!T68</f>
        <v>0</v>
      </c>
      <c r="T41" s="75">
        <f>'дод 2'!U68</f>
        <v>0</v>
      </c>
      <c r="U41" s="75">
        <f>'дод 2'!V68</f>
        <v>0</v>
      </c>
      <c r="V41" s="75">
        <f>'дод 2'!W68</f>
        <v>0</v>
      </c>
      <c r="W41" s="75">
        <f>'дод 2'!X68</f>
        <v>0</v>
      </c>
      <c r="X41" s="75">
        <f>'дод 2'!Y68</f>
        <v>0</v>
      </c>
      <c r="Y41" s="168"/>
      <c r="Z41" s="75">
        <f>'дод 2'!AA68</f>
        <v>296262.95</v>
      </c>
      <c r="AA41" s="75">
        <f>'дод 2'!AB68</f>
        <v>1068600</v>
      </c>
      <c r="AB41" s="221"/>
      <c r="AC41" s="214"/>
    </row>
    <row r="42" spans="1:29" s="106" customFormat="1" ht="26.25" customHeight="1" x14ac:dyDescent="0.25">
      <c r="A42" s="73"/>
      <c r="B42" s="73"/>
      <c r="C42" s="55" t="s">
        <v>402</v>
      </c>
      <c r="D42" s="80">
        <f>'дод 2'!E69</f>
        <v>1068600</v>
      </c>
      <c r="E42" s="80">
        <f>'дод 2'!F69</f>
        <v>1068600</v>
      </c>
      <c r="F42" s="80">
        <f>'дод 2'!G69</f>
        <v>875900</v>
      </c>
      <c r="G42" s="80">
        <f>'дод 2'!H69</f>
        <v>0</v>
      </c>
      <c r="H42" s="80">
        <f>'дод 2'!I69</f>
        <v>0</v>
      </c>
      <c r="I42" s="80">
        <f>'дод 2'!J69</f>
        <v>296262.95</v>
      </c>
      <c r="J42" s="80">
        <f>'дод 2'!K69</f>
        <v>245481.21</v>
      </c>
      <c r="K42" s="80">
        <f>'дод 2'!L69</f>
        <v>0</v>
      </c>
      <c r="L42" s="170">
        <f t="shared" si="1"/>
        <v>27.724401085532474</v>
      </c>
      <c r="M42" s="80">
        <f>'дод 2'!N69</f>
        <v>0</v>
      </c>
      <c r="N42" s="80">
        <f>'дод 2'!O69</f>
        <v>0</v>
      </c>
      <c r="O42" s="80">
        <f>'дод 2'!P69</f>
        <v>0</v>
      </c>
      <c r="P42" s="80">
        <f>'дод 2'!Q69</f>
        <v>0</v>
      </c>
      <c r="Q42" s="80">
        <f>'дод 2'!R69</f>
        <v>0</v>
      </c>
      <c r="R42" s="80">
        <f>'дод 2'!S69</f>
        <v>0</v>
      </c>
      <c r="S42" s="80">
        <f>'дод 2'!T69</f>
        <v>0</v>
      </c>
      <c r="T42" s="80">
        <f>'дод 2'!U69</f>
        <v>0</v>
      </c>
      <c r="U42" s="80">
        <f>'дод 2'!V69</f>
        <v>0</v>
      </c>
      <c r="V42" s="80">
        <f>'дод 2'!W69</f>
        <v>0</v>
      </c>
      <c r="W42" s="80">
        <f>'дод 2'!X69</f>
        <v>0</v>
      </c>
      <c r="X42" s="80">
        <f>'дод 2'!Y69</f>
        <v>0</v>
      </c>
      <c r="Y42" s="170"/>
      <c r="Z42" s="80">
        <f>'дод 2'!AA69</f>
        <v>296262.95</v>
      </c>
      <c r="AA42" s="80">
        <f>'дод 2'!AB69</f>
        <v>1068600</v>
      </c>
      <c r="AB42" s="221"/>
      <c r="AC42" s="214"/>
    </row>
    <row r="43" spans="1:29" s="106" customFormat="1" ht="38.25" customHeight="1" x14ac:dyDescent="0.25">
      <c r="A43" s="41" t="s">
        <v>45</v>
      </c>
      <c r="B43" s="41" t="s">
        <v>48</v>
      </c>
      <c r="C43" s="43" t="s">
        <v>281</v>
      </c>
      <c r="D43" s="75">
        <f>'дод 2'!E70</f>
        <v>47805900</v>
      </c>
      <c r="E43" s="75">
        <f>'дод 2'!F70</f>
        <v>47805900</v>
      </c>
      <c r="F43" s="75">
        <f>'дод 2'!G70</f>
        <v>32550000</v>
      </c>
      <c r="G43" s="75">
        <f>'дод 2'!H70</f>
        <v>7564900</v>
      </c>
      <c r="H43" s="75">
        <f>'дод 2'!I70</f>
        <v>0</v>
      </c>
      <c r="I43" s="75">
        <f>'дод 2'!J70</f>
        <v>12388873.140000001</v>
      </c>
      <c r="J43" s="75">
        <f>'дод 2'!K70</f>
        <v>8160358.3499999996</v>
      </c>
      <c r="K43" s="75">
        <f>'дод 2'!L70</f>
        <v>2371462.35</v>
      </c>
      <c r="L43" s="168">
        <f t="shared" si="1"/>
        <v>25.914945937635313</v>
      </c>
      <c r="M43" s="75">
        <f>'дод 2'!N70</f>
        <v>0</v>
      </c>
      <c r="N43" s="75">
        <f>'дод 2'!O70</f>
        <v>0</v>
      </c>
      <c r="O43" s="75">
        <f>'дод 2'!P70</f>
        <v>0</v>
      </c>
      <c r="P43" s="75">
        <f>'дод 2'!Q70</f>
        <v>0</v>
      </c>
      <c r="Q43" s="75">
        <f>'дод 2'!R70</f>
        <v>0</v>
      </c>
      <c r="R43" s="75">
        <f>'дод 2'!S70</f>
        <v>0</v>
      </c>
      <c r="S43" s="75">
        <f>'дод 2'!T70</f>
        <v>206094.74</v>
      </c>
      <c r="T43" s="75">
        <f>'дод 2'!U70</f>
        <v>0</v>
      </c>
      <c r="U43" s="75">
        <f>'дод 2'!V70</f>
        <v>206094.74</v>
      </c>
      <c r="V43" s="75">
        <f>'дод 2'!W70</f>
        <v>151478.32999999999</v>
      </c>
      <c r="W43" s="75">
        <f>'дод 2'!X70</f>
        <v>0</v>
      </c>
      <c r="X43" s="75">
        <f>'дод 2'!Y70</f>
        <v>0</v>
      </c>
      <c r="Y43" s="168"/>
      <c r="Z43" s="75">
        <f>'дод 2'!AA70</f>
        <v>12594967.880000001</v>
      </c>
      <c r="AA43" s="75">
        <f>'дод 2'!AB70</f>
        <v>47805900</v>
      </c>
      <c r="AB43" s="221"/>
      <c r="AC43" s="214"/>
    </row>
    <row r="44" spans="1:29" s="106" customFormat="1" ht="30" customHeight="1" x14ac:dyDescent="0.25">
      <c r="A44" s="42">
        <v>1080</v>
      </c>
      <c r="B44" s="41" t="s">
        <v>48</v>
      </c>
      <c r="C44" s="43" t="s">
        <v>324</v>
      </c>
      <c r="D44" s="75">
        <f>'дод 2'!E158</f>
        <v>58762400</v>
      </c>
      <c r="E44" s="75">
        <f>'дод 2'!F158</f>
        <v>58762400</v>
      </c>
      <c r="F44" s="75">
        <f>'дод 2'!G158</f>
        <v>46330300</v>
      </c>
      <c r="G44" s="75">
        <f>'дод 2'!H158</f>
        <v>1616300</v>
      </c>
      <c r="H44" s="75">
        <f>'дод 2'!I158</f>
        <v>0</v>
      </c>
      <c r="I44" s="75">
        <f>'дод 2'!J158</f>
        <v>13428721.73</v>
      </c>
      <c r="J44" s="75">
        <f>'дод 2'!K158</f>
        <v>10586069.84</v>
      </c>
      <c r="K44" s="75">
        <f>'дод 2'!L158</f>
        <v>478988.19</v>
      </c>
      <c r="L44" s="168">
        <f t="shared" si="1"/>
        <v>22.852575337290514</v>
      </c>
      <c r="M44" s="75">
        <f>'дод 2'!N158</f>
        <v>3703600</v>
      </c>
      <c r="N44" s="75">
        <f>'дод 2'!O158</f>
        <v>0</v>
      </c>
      <c r="O44" s="75">
        <f>'дод 2'!P158</f>
        <v>3701400</v>
      </c>
      <c r="P44" s="75">
        <f>'дод 2'!Q158</f>
        <v>3029160</v>
      </c>
      <c r="Q44" s="75">
        <f>'дод 2'!R158</f>
        <v>0</v>
      </c>
      <c r="R44" s="75">
        <f>'дод 2'!S158</f>
        <v>2200</v>
      </c>
      <c r="S44" s="75">
        <f>'дод 2'!T158</f>
        <v>773726.13</v>
      </c>
      <c r="T44" s="75">
        <f>'дод 2'!U158</f>
        <v>0</v>
      </c>
      <c r="U44" s="75">
        <f>'дод 2'!V158</f>
        <v>773726.13</v>
      </c>
      <c r="V44" s="75">
        <f>'дод 2'!W158</f>
        <v>616731.68000000005</v>
      </c>
      <c r="W44" s="75">
        <f>'дод 2'!X158</f>
        <v>0</v>
      </c>
      <c r="X44" s="75">
        <f>'дод 2'!Y158</f>
        <v>0</v>
      </c>
      <c r="Y44" s="168">
        <f t="shared" si="3"/>
        <v>20.891190463332972</v>
      </c>
      <c r="Z44" s="75">
        <f>'дод 2'!AA158</f>
        <v>14202447.860000001</v>
      </c>
      <c r="AA44" s="75">
        <f>'дод 2'!AB158</f>
        <v>62466000</v>
      </c>
      <c r="AB44" s="221"/>
      <c r="AC44" s="214"/>
    </row>
    <row r="45" spans="1:29" s="106" customFormat="1" ht="52.5" customHeight="1" x14ac:dyDescent="0.25">
      <c r="A45" s="42">
        <v>1091</v>
      </c>
      <c r="B45" s="41" t="s">
        <v>333</v>
      </c>
      <c r="C45" s="43" t="s">
        <v>444</v>
      </c>
      <c r="D45" s="75">
        <f>'дод 2'!E71</f>
        <v>154406700</v>
      </c>
      <c r="E45" s="75">
        <f>'дод 2'!F71</f>
        <v>154406700</v>
      </c>
      <c r="F45" s="75">
        <f>'дод 2'!G71</f>
        <v>80199400</v>
      </c>
      <c r="G45" s="75">
        <f>'дод 2'!H71</f>
        <v>24365100</v>
      </c>
      <c r="H45" s="75">
        <f>'дод 2'!I71</f>
        <v>0</v>
      </c>
      <c r="I45" s="75">
        <f>'дод 2'!J71</f>
        <v>37612909.829999998</v>
      </c>
      <c r="J45" s="75">
        <f>'дод 2'!K71</f>
        <v>18806511.989999998</v>
      </c>
      <c r="K45" s="75">
        <f>'дод 2'!L71</f>
        <v>8089786.3399999999</v>
      </c>
      <c r="L45" s="168">
        <f t="shared" si="1"/>
        <v>24.359635838341212</v>
      </c>
      <c r="M45" s="75">
        <f>'дод 2'!N71</f>
        <v>32625160</v>
      </c>
      <c r="N45" s="75">
        <f>'дод 2'!O71</f>
        <v>10710000</v>
      </c>
      <c r="O45" s="75">
        <f>'дод 2'!P71</f>
        <v>21478160</v>
      </c>
      <c r="P45" s="75">
        <f>'дод 2'!Q71</f>
        <v>7258500</v>
      </c>
      <c r="Q45" s="75">
        <f>'дод 2'!R71</f>
        <v>6662500</v>
      </c>
      <c r="R45" s="75">
        <f>'дод 2'!S71</f>
        <v>11147000</v>
      </c>
      <c r="S45" s="75">
        <f>'дод 2'!T71</f>
        <v>4232077.17</v>
      </c>
      <c r="T45" s="75">
        <f>'дод 2'!U71</f>
        <v>0</v>
      </c>
      <c r="U45" s="75">
        <f>'дод 2'!V71</f>
        <v>4168331.78</v>
      </c>
      <c r="V45" s="75">
        <f>'дод 2'!W71</f>
        <v>963243.67</v>
      </c>
      <c r="W45" s="75">
        <f>'дод 2'!X71</f>
        <v>1062620.4099999999</v>
      </c>
      <c r="X45" s="75">
        <f>'дод 2'!Y71</f>
        <v>63745.39</v>
      </c>
      <c r="Y45" s="168">
        <f t="shared" si="3"/>
        <v>12.971820429386399</v>
      </c>
      <c r="Z45" s="75">
        <f>'дод 2'!AA71</f>
        <v>41844987</v>
      </c>
      <c r="AA45" s="75">
        <f>'дод 2'!AB71</f>
        <v>187031860</v>
      </c>
      <c r="AB45" s="221"/>
      <c r="AC45" s="214"/>
    </row>
    <row r="46" spans="1:29" s="106" customFormat="1" ht="103.5" customHeight="1" x14ac:dyDescent="0.25">
      <c r="A46" s="51"/>
      <c r="B46" s="50"/>
      <c r="C46" s="55" t="s">
        <v>448</v>
      </c>
      <c r="D46" s="80">
        <f>'дод 2'!E72</f>
        <v>0</v>
      </c>
      <c r="E46" s="80">
        <f>'дод 2'!F72</f>
        <v>0</v>
      </c>
      <c r="F46" s="80">
        <f>'дод 2'!G72</f>
        <v>0</v>
      </c>
      <c r="G46" s="80">
        <f>'дод 2'!H72</f>
        <v>0</v>
      </c>
      <c r="H46" s="80">
        <f>'дод 2'!I72</f>
        <v>0</v>
      </c>
      <c r="I46" s="80">
        <f>'дод 2'!J72</f>
        <v>0</v>
      </c>
      <c r="J46" s="80">
        <f>'дод 2'!K72</f>
        <v>0</v>
      </c>
      <c r="K46" s="80">
        <f>'дод 2'!L72</f>
        <v>0</v>
      </c>
      <c r="L46" s="170"/>
      <c r="M46" s="80">
        <f>'дод 2'!N72</f>
        <v>6210000</v>
      </c>
      <c r="N46" s="80">
        <f>'дод 2'!O72</f>
        <v>6210000</v>
      </c>
      <c r="O46" s="80">
        <f>'дод 2'!P72</f>
        <v>0</v>
      </c>
      <c r="P46" s="80">
        <f>'дод 2'!Q72</f>
        <v>0</v>
      </c>
      <c r="Q46" s="80">
        <f>'дод 2'!R72</f>
        <v>0</v>
      </c>
      <c r="R46" s="80">
        <f>'дод 2'!S72</f>
        <v>6210000</v>
      </c>
      <c r="S46" s="80">
        <f>'дод 2'!T72</f>
        <v>0</v>
      </c>
      <c r="T46" s="80">
        <f>'дод 2'!U72</f>
        <v>0</v>
      </c>
      <c r="U46" s="80">
        <f>'дод 2'!V72</f>
        <v>0</v>
      </c>
      <c r="V46" s="80">
        <f>'дод 2'!W72</f>
        <v>0</v>
      </c>
      <c r="W46" s="80">
        <f>'дод 2'!X72</f>
        <v>0</v>
      </c>
      <c r="X46" s="80">
        <f>'дод 2'!Y72</f>
        <v>0</v>
      </c>
      <c r="Y46" s="170">
        <f t="shared" si="3"/>
        <v>0</v>
      </c>
      <c r="Z46" s="80">
        <f>'дод 2'!AA72</f>
        <v>0</v>
      </c>
      <c r="AA46" s="80">
        <f>'дод 2'!AB72</f>
        <v>6210000</v>
      </c>
      <c r="AB46" s="221"/>
      <c r="AC46" s="214"/>
    </row>
    <row r="47" spans="1:29" s="118" customFormat="1" ht="38.85" customHeight="1" x14ac:dyDescent="0.25">
      <c r="A47" s="51"/>
      <c r="B47" s="50"/>
      <c r="C47" s="55" t="str">
        <f>'дод 2'!D73</f>
        <v>іншої субвенції з місцевого бюджету</v>
      </c>
      <c r="D47" s="80">
        <f>'дод 2'!E73</f>
        <v>0</v>
      </c>
      <c r="E47" s="80">
        <f>'дод 2'!F73</f>
        <v>0</v>
      </c>
      <c r="F47" s="80">
        <f>'дод 2'!G73</f>
        <v>0</v>
      </c>
      <c r="G47" s="80">
        <f>'дод 2'!H73</f>
        <v>0</v>
      </c>
      <c r="H47" s="80">
        <f>'дод 2'!I73</f>
        <v>0</v>
      </c>
      <c r="I47" s="80">
        <f>'дод 2'!J73</f>
        <v>0</v>
      </c>
      <c r="J47" s="80">
        <f>'дод 2'!K73</f>
        <v>0</v>
      </c>
      <c r="K47" s="80">
        <f>'дод 2'!L73</f>
        <v>0</v>
      </c>
      <c r="L47" s="170"/>
      <c r="M47" s="80">
        <f>'дод 2'!N73</f>
        <v>4500000</v>
      </c>
      <c r="N47" s="80">
        <f>'дод 2'!O73</f>
        <v>4500000</v>
      </c>
      <c r="O47" s="80">
        <f>'дод 2'!P73</f>
        <v>0</v>
      </c>
      <c r="P47" s="80">
        <f>'дод 2'!Q73</f>
        <v>0</v>
      </c>
      <c r="Q47" s="80">
        <f>'дод 2'!R73</f>
        <v>0</v>
      </c>
      <c r="R47" s="80">
        <f>'дод 2'!S73</f>
        <v>4500000</v>
      </c>
      <c r="S47" s="80">
        <f>'дод 2'!T73</f>
        <v>0</v>
      </c>
      <c r="T47" s="80">
        <f>'дод 2'!U73</f>
        <v>0</v>
      </c>
      <c r="U47" s="80">
        <f>'дод 2'!V73</f>
        <v>0</v>
      </c>
      <c r="V47" s="80">
        <f>'дод 2'!W73</f>
        <v>0</v>
      </c>
      <c r="W47" s="80">
        <f>'дод 2'!X73</f>
        <v>0</v>
      </c>
      <c r="X47" s="80">
        <f>'дод 2'!Y73</f>
        <v>0</v>
      </c>
      <c r="Y47" s="170">
        <f t="shared" si="3"/>
        <v>0</v>
      </c>
      <c r="Z47" s="80">
        <f>'дод 2'!AA73</f>
        <v>0</v>
      </c>
      <c r="AA47" s="80">
        <f>'дод 2'!AB73</f>
        <v>4500000</v>
      </c>
      <c r="AB47" s="221"/>
      <c r="AC47" s="214"/>
    </row>
    <row r="48" spans="1:29" s="106" customFormat="1" ht="64.5" customHeight="1" x14ac:dyDescent="0.25">
      <c r="A48" s="83">
        <v>1092</v>
      </c>
      <c r="B48" s="81" t="s">
        <v>333</v>
      </c>
      <c r="C48" s="82" t="s">
        <v>408</v>
      </c>
      <c r="D48" s="75">
        <f>'дод 2'!E74</f>
        <v>13420000</v>
      </c>
      <c r="E48" s="75">
        <f>'дод 2'!F74</f>
        <v>13420000</v>
      </c>
      <c r="F48" s="75">
        <f>'дод 2'!G74</f>
        <v>11000000</v>
      </c>
      <c r="G48" s="75">
        <f>'дод 2'!H74</f>
        <v>0</v>
      </c>
      <c r="H48" s="75">
        <f>'дод 2'!I74</f>
        <v>0</v>
      </c>
      <c r="I48" s="75">
        <f>'дод 2'!J74</f>
        <v>4339545.26</v>
      </c>
      <c r="J48" s="75">
        <f>'дод 2'!K74</f>
        <v>3578863.64</v>
      </c>
      <c r="K48" s="75">
        <f>'дод 2'!L74</f>
        <v>0</v>
      </c>
      <c r="L48" s="168">
        <f t="shared" si="1"/>
        <v>32.336402831594633</v>
      </c>
      <c r="M48" s="75">
        <f>'дод 2'!N74</f>
        <v>0</v>
      </c>
      <c r="N48" s="75">
        <f>'дод 2'!O74</f>
        <v>0</v>
      </c>
      <c r="O48" s="75">
        <f>'дод 2'!P74</f>
        <v>0</v>
      </c>
      <c r="P48" s="75">
        <f>'дод 2'!Q74</f>
        <v>0</v>
      </c>
      <c r="Q48" s="75">
        <f>'дод 2'!R74</f>
        <v>0</v>
      </c>
      <c r="R48" s="75">
        <f>'дод 2'!S74</f>
        <v>0</v>
      </c>
      <c r="S48" s="75">
        <f>'дод 2'!T74</f>
        <v>0</v>
      </c>
      <c r="T48" s="75">
        <f>'дод 2'!U74</f>
        <v>0</v>
      </c>
      <c r="U48" s="75">
        <f>'дод 2'!V74</f>
        <v>0</v>
      </c>
      <c r="V48" s="75">
        <f>'дод 2'!W74</f>
        <v>0</v>
      </c>
      <c r="W48" s="75">
        <f>'дод 2'!X74</f>
        <v>0</v>
      </c>
      <c r="X48" s="75">
        <f>'дод 2'!Y74</f>
        <v>0</v>
      </c>
      <c r="Y48" s="168"/>
      <c r="Z48" s="75">
        <f>'дод 2'!AA74</f>
        <v>4339545.26</v>
      </c>
      <c r="AA48" s="75">
        <f>'дод 2'!AB74</f>
        <v>13420000</v>
      </c>
      <c r="AB48" s="221"/>
      <c r="AC48" s="214"/>
    </row>
    <row r="49" spans="1:29" s="106" customFormat="1" ht="20.25" customHeight="1" x14ac:dyDescent="0.25">
      <c r="A49" s="84"/>
      <c r="B49" s="85"/>
      <c r="C49" s="55" t="s">
        <v>402</v>
      </c>
      <c r="D49" s="80">
        <f>'дод 2'!E75</f>
        <v>13420000</v>
      </c>
      <c r="E49" s="80">
        <f>'дод 2'!F75</f>
        <v>13420000</v>
      </c>
      <c r="F49" s="80">
        <f>'дод 2'!G75</f>
        <v>11000000</v>
      </c>
      <c r="G49" s="80">
        <f>'дод 2'!H75</f>
        <v>0</v>
      </c>
      <c r="H49" s="80">
        <f>'дод 2'!I75</f>
        <v>0</v>
      </c>
      <c r="I49" s="80">
        <f>'дод 2'!J75</f>
        <v>4339545.26</v>
      </c>
      <c r="J49" s="80">
        <f>'дод 2'!K75</f>
        <v>3578863.64</v>
      </c>
      <c r="K49" s="80">
        <f>'дод 2'!L75</f>
        <v>0</v>
      </c>
      <c r="L49" s="170">
        <f t="shared" si="1"/>
        <v>32.336402831594633</v>
      </c>
      <c r="M49" s="80">
        <f>'дод 2'!N75</f>
        <v>0</v>
      </c>
      <c r="N49" s="80">
        <f>'дод 2'!O75</f>
        <v>0</v>
      </c>
      <c r="O49" s="80">
        <f>'дод 2'!P75</f>
        <v>0</v>
      </c>
      <c r="P49" s="80">
        <f>'дод 2'!Q75</f>
        <v>0</v>
      </c>
      <c r="Q49" s="80">
        <f>'дод 2'!R75</f>
        <v>0</v>
      </c>
      <c r="R49" s="80">
        <f>'дод 2'!S75</f>
        <v>0</v>
      </c>
      <c r="S49" s="80">
        <f>'дод 2'!T75</f>
        <v>0</v>
      </c>
      <c r="T49" s="80">
        <f>'дод 2'!U75</f>
        <v>0</v>
      </c>
      <c r="U49" s="80">
        <f>'дод 2'!V75</f>
        <v>0</v>
      </c>
      <c r="V49" s="80">
        <f>'дод 2'!W75</f>
        <v>0</v>
      </c>
      <c r="W49" s="80">
        <f>'дод 2'!X75</f>
        <v>0</v>
      </c>
      <c r="X49" s="80">
        <f>'дод 2'!Y75</f>
        <v>0</v>
      </c>
      <c r="Y49" s="170"/>
      <c r="Z49" s="80">
        <f>'дод 2'!AA75</f>
        <v>4339545.26</v>
      </c>
      <c r="AA49" s="80">
        <f>'дод 2'!AB75</f>
        <v>13420000</v>
      </c>
      <c r="AB49" s="221"/>
      <c r="AC49" s="214"/>
    </row>
    <row r="50" spans="1:29" s="106" customFormat="1" ht="24.75" customHeight="1" x14ac:dyDescent="0.25">
      <c r="A50" s="41" t="s">
        <v>302</v>
      </c>
      <c r="B50" s="41" t="s">
        <v>49</v>
      </c>
      <c r="C50" s="43" t="s">
        <v>318</v>
      </c>
      <c r="D50" s="75">
        <f>'дод 2'!E76</f>
        <v>14119800</v>
      </c>
      <c r="E50" s="75">
        <f>'дод 2'!F76</f>
        <v>14119800</v>
      </c>
      <c r="F50" s="75">
        <f>'дод 2'!G76</f>
        <v>9824000</v>
      </c>
      <c r="G50" s="75">
        <f>'дод 2'!H76</f>
        <v>1318500</v>
      </c>
      <c r="H50" s="75">
        <f>'дод 2'!I76</f>
        <v>0</v>
      </c>
      <c r="I50" s="75">
        <f>'дод 2'!J76</f>
        <v>3303476.37</v>
      </c>
      <c r="J50" s="75">
        <f>'дод 2'!K76</f>
        <v>2333807.19</v>
      </c>
      <c r="K50" s="75">
        <f>'дод 2'!L76</f>
        <v>342897.57</v>
      </c>
      <c r="L50" s="168">
        <f t="shared" si="1"/>
        <v>23.396056388900693</v>
      </c>
      <c r="M50" s="75">
        <f>'дод 2'!N76</f>
        <v>0</v>
      </c>
      <c r="N50" s="75">
        <f>'дод 2'!O76</f>
        <v>0</v>
      </c>
      <c r="O50" s="75">
        <f>'дод 2'!P76</f>
        <v>0</v>
      </c>
      <c r="P50" s="75">
        <f>'дод 2'!Q76</f>
        <v>0</v>
      </c>
      <c r="Q50" s="75">
        <f>'дод 2'!R76</f>
        <v>0</v>
      </c>
      <c r="R50" s="75">
        <f>'дод 2'!S76</f>
        <v>0</v>
      </c>
      <c r="S50" s="75">
        <f>'дод 2'!T76</f>
        <v>47314.14</v>
      </c>
      <c r="T50" s="75">
        <f>'дод 2'!U76</f>
        <v>0</v>
      </c>
      <c r="U50" s="75">
        <f>'дод 2'!V76</f>
        <v>47314.14</v>
      </c>
      <c r="V50" s="75">
        <f>'дод 2'!W76</f>
        <v>0</v>
      </c>
      <c r="W50" s="75">
        <f>'дод 2'!X76</f>
        <v>0</v>
      </c>
      <c r="X50" s="75">
        <f>'дод 2'!Y76</f>
        <v>0</v>
      </c>
      <c r="Y50" s="168"/>
      <c r="Z50" s="75">
        <f>'дод 2'!AA76</f>
        <v>3350790.5100000002</v>
      </c>
      <c r="AA50" s="75">
        <f>'дод 2'!AB76</f>
        <v>14119800</v>
      </c>
      <c r="AB50" s="221"/>
      <c r="AC50" s="214"/>
    </row>
    <row r="51" spans="1:29" ht="30" customHeight="1" x14ac:dyDescent="0.25">
      <c r="A51" s="41" t="s">
        <v>304</v>
      </c>
      <c r="B51" s="41" t="s">
        <v>49</v>
      </c>
      <c r="C51" s="43" t="s">
        <v>222</v>
      </c>
      <c r="D51" s="75">
        <f>'дод 2'!E77</f>
        <v>134000</v>
      </c>
      <c r="E51" s="75">
        <f>'дод 2'!F77</f>
        <v>134000</v>
      </c>
      <c r="F51" s="75">
        <f>'дод 2'!G77</f>
        <v>0</v>
      </c>
      <c r="G51" s="75">
        <f>'дод 2'!H77</f>
        <v>0</v>
      </c>
      <c r="H51" s="75">
        <f>'дод 2'!I77</f>
        <v>0</v>
      </c>
      <c r="I51" s="75">
        <f>'дод 2'!J77</f>
        <v>31350</v>
      </c>
      <c r="J51" s="75">
        <f>'дод 2'!K77</f>
        <v>0</v>
      </c>
      <c r="K51" s="75">
        <f>'дод 2'!L77</f>
        <v>0</v>
      </c>
      <c r="L51" s="168">
        <f t="shared" si="1"/>
        <v>23.3955223880597</v>
      </c>
      <c r="M51" s="75">
        <f>'дод 2'!N77</f>
        <v>0</v>
      </c>
      <c r="N51" s="75">
        <f>'дод 2'!O77</f>
        <v>0</v>
      </c>
      <c r="O51" s="75">
        <f>'дод 2'!P77</f>
        <v>0</v>
      </c>
      <c r="P51" s="75">
        <f>'дод 2'!Q77</f>
        <v>0</v>
      </c>
      <c r="Q51" s="75">
        <f>'дод 2'!R77</f>
        <v>0</v>
      </c>
      <c r="R51" s="75">
        <f>'дод 2'!S77</f>
        <v>0</v>
      </c>
      <c r="S51" s="75">
        <f>'дод 2'!T77</f>
        <v>0</v>
      </c>
      <c r="T51" s="75">
        <f>'дод 2'!U77</f>
        <v>0</v>
      </c>
      <c r="U51" s="75">
        <f>'дод 2'!V77</f>
        <v>0</v>
      </c>
      <c r="V51" s="75">
        <f>'дод 2'!W77</f>
        <v>0</v>
      </c>
      <c r="W51" s="75">
        <f>'дод 2'!X77</f>
        <v>0</v>
      </c>
      <c r="X51" s="75">
        <f>'дод 2'!Y77</f>
        <v>0</v>
      </c>
      <c r="Y51" s="168"/>
      <c r="Z51" s="75">
        <f>'дод 2'!AA77</f>
        <v>31350</v>
      </c>
      <c r="AA51" s="75">
        <f>'дод 2'!AB77</f>
        <v>134000</v>
      </c>
      <c r="AB51" s="221"/>
      <c r="AC51" s="214"/>
    </row>
    <row r="52" spans="1:29" ht="32.25" customHeight="1" x14ac:dyDescent="0.25">
      <c r="A52" s="41" t="s">
        <v>306</v>
      </c>
      <c r="B52" s="41" t="s">
        <v>49</v>
      </c>
      <c r="C52" s="43" t="s">
        <v>307</v>
      </c>
      <c r="D52" s="75">
        <f>'дод 2'!E78</f>
        <v>173400</v>
      </c>
      <c r="E52" s="75">
        <f>'дод 2'!F78</f>
        <v>173400</v>
      </c>
      <c r="F52" s="75">
        <f>'дод 2'!G78</f>
        <v>0</v>
      </c>
      <c r="G52" s="75">
        <f>'дод 2'!H78</f>
        <v>129400</v>
      </c>
      <c r="H52" s="75">
        <f>'дод 2'!I78</f>
        <v>0</v>
      </c>
      <c r="I52" s="75">
        <f>'дод 2'!J78</f>
        <v>64644.39</v>
      </c>
      <c r="J52" s="75">
        <f>'дод 2'!K78</f>
        <v>0</v>
      </c>
      <c r="K52" s="75">
        <f>'дод 2'!L78</f>
        <v>57872.31</v>
      </c>
      <c r="L52" s="168">
        <f t="shared" si="1"/>
        <v>37.280501730103808</v>
      </c>
      <c r="M52" s="75">
        <f>'дод 2'!N78</f>
        <v>0</v>
      </c>
      <c r="N52" s="75">
        <f>'дод 2'!O78</f>
        <v>0</v>
      </c>
      <c r="O52" s="75">
        <f>'дод 2'!P78</f>
        <v>0</v>
      </c>
      <c r="P52" s="75">
        <f>'дод 2'!Q78</f>
        <v>0</v>
      </c>
      <c r="Q52" s="75">
        <f>'дод 2'!R78</f>
        <v>0</v>
      </c>
      <c r="R52" s="75">
        <f>'дод 2'!S78</f>
        <v>0</v>
      </c>
      <c r="S52" s="75">
        <f>'дод 2'!T78</f>
        <v>28683.59</v>
      </c>
      <c r="T52" s="75">
        <f>'дод 2'!U78</f>
        <v>0</v>
      </c>
      <c r="U52" s="75">
        <f>'дод 2'!V78</f>
        <v>28683.59</v>
      </c>
      <c r="V52" s="75">
        <f>'дод 2'!W78</f>
        <v>0</v>
      </c>
      <c r="W52" s="75">
        <f>'дод 2'!X78</f>
        <v>0</v>
      </c>
      <c r="X52" s="75">
        <f>'дод 2'!Y78</f>
        <v>0</v>
      </c>
      <c r="Y52" s="168"/>
      <c r="Z52" s="75">
        <f>'дод 2'!AA78</f>
        <v>93327.98</v>
      </c>
      <c r="AA52" s="75">
        <f>'дод 2'!AB78</f>
        <v>173400</v>
      </c>
      <c r="AB52" s="221"/>
      <c r="AC52" s="214"/>
    </row>
    <row r="53" spans="1:29" ht="45" customHeight="1" x14ac:dyDescent="0.25">
      <c r="A53" s="41" t="s">
        <v>399</v>
      </c>
      <c r="B53" s="41" t="s">
        <v>49</v>
      </c>
      <c r="C53" s="43" t="s">
        <v>400</v>
      </c>
      <c r="D53" s="75">
        <f>'дод 2'!E79</f>
        <v>1434970</v>
      </c>
      <c r="E53" s="75">
        <f>'дод 2'!F79</f>
        <v>1434970</v>
      </c>
      <c r="F53" s="75">
        <f>'дод 2'!G79</f>
        <v>1176210</v>
      </c>
      <c r="G53" s="75">
        <f>'дод 2'!H79</f>
        <v>0</v>
      </c>
      <c r="H53" s="75">
        <f>'дод 2'!I79</f>
        <v>0</v>
      </c>
      <c r="I53" s="75">
        <f>'дод 2'!J79</f>
        <v>460419.26</v>
      </c>
      <c r="J53" s="75">
        <f>'дод 2'!K79</f>
        <v>376581.07</v>
      </c>
      <c r="K53" s="75">
        <f>'дод 2'!L79</f>
        <v>0</v>
      </c>
      <c r="L53" s="168">
        <f t="shared" si="1"/>
        <v>32.085636633518469</v>
      </c>
      <c r="M53" s="75">
        <f>'дод 2'!N79</f>
        <v>0</v>
      </c>
      <c r="N53" s="75">
        <f>'дод 2'!O79</f>
        <v>0</v>
      </c>
      <c r="O53" s="75">
        <f>'дод 2'!P79</f>
        <v>0</v>
      </c>
      <c r="P53" s="75">
        <f>'дод 2'!Q79</f>
        <v>0</v>
      </c>
      <c r="Q53" s="75">
        <f>'дод 2'!R79</f>
        <v>0</v>
      </c>
      <c r="R53" s="75">
        <f>'дод 2'!S79</f>
        <v>0</v>
      </c>
      <c r="S53" s="75">
        <f>'дод 2'!T79</f>
        <v>0</v>
      </c>
      <c r="T53" s="75">
        <f>'дод 2'!U79</f>
        <v>0</v>
      </c>
      <c r="U53" s="75">
        <f>'дод 2'!V79</f>
        <v>0</v>
      </c>
      <c r="V53" s="75">
        <f>'дод 2'!W79</f>
        <v>0</v>
      </c>
      <c r="W53" s="75">
        <f>'дод 2'!X79</f>
        <v>0</v>
      </c>
      <c r="X53" s="75">
        <f>'дод 2'!Y79</f>
        <v>0</v>
      </c>
      <c r="Y53" s="168"/>
      <c r="Z53" s="75">
        <f>'дод 2'!AA79</f>
        <v>460419.26</v>
      </c>
      <c r="AA53" s="75">
        <f>'дод 2'!AB79</f>
        <v>1434970</v>
      </c>
      <c r="AB53" s="221"/>
      <c r="AC53" s="214"/>
    </row>
    <row r="54" spans="1:29" s="106" customFormat="1" ht="45" customHeight="1" x14ac:dyDescent="0.25">
      <c r="A54" s="50"/>
      <c r="B54" s="50"/>
      <c r="C54" s="55" t="s">
        <v>395</v>
      </c>
      <c r="D54" s="80">
        <f>'дод 2'!E80</f>
        <v>1434970</v>
      </c>
      <c r="E54" s="80">
        <f>'дод 2'!F80</f>
        <v>1434970</v>
      </c>
      <c r="F54" s="80">
        <f>'дод 2'!G80</f>
        <v>1176210</v>
      </c>
      <c r="G54" s="80">
        <f>'дод 2'!H80</f>
        <v>0</v>
      </c>
      <c r="H54" s="80">
        <f>'дод 2'!I80</f>
        <v>0</v>
      </c>
      <c r="I54" s="80">
        <f>'дод 2'!J80</f>
        <v>460419.26</v>
      </c>
      <c r="J54" s="80">
        <f>'дод 2'!K80</f>
        <v>376581.07</v>
      </c>
      <c r="K54" s="80">
        <f>'дод 2'!L80</f>
        <v>0</v>
      </c>
      <c r="L54" s="170">
        <f t="shared" si="1"/>
        <v>32.085636633518469</v>
      </c>
      <c r="M54" s="80">
        <f>'дод 2'!N80</f>
        <v>0</v>
      </c>
      <c r="N54" s="80">
        <f>'дод 2'!O80</f>
        <v>0</v>
      </c>
      <c r="O54" s="80">
        <f>'дод 2'!P80</f>
        <v>0</v>
      </c>
      <c r="P54" s="80">
        <f>'дод 2'!Q80</f>
        <v>0</v>
      </c>
      <c r="Q54" s="80">
        <f>'дод 2'!R80</f>
        <v>0</v>
      </c>
      <c r="R54" s="80">
        <f>'дод 2'!S80</f>
        <v>0</v>
      </c>
      <c r="S54" s="80">
        <f>'дод 2'!T80</f>
        <v>0</v>
      </c>
      <c r="T54" s="80">
        <f>'дод 2'!U80</f>
        <v>0</v>
      </c>
      <c r="U54" s="80">
        <f>'дод 2'!V80</f>
        <v>0</v>
      </c>
      <c r="V54" s="80">
        <f>'дод 2'!W80</f>
        <v>0</v>
      </c>
      <c r="W54" s="80">
        <f>'дод 2'!X80</f>
        <v>0</v>
      </c>
      <c r="X54" s="80">
        <f>'дод 2'!Y80</f>
        <v>0</v>
      </c>
      <c r="Y54" s="170"/>
      <c r="Z54" s="80">
        <f>'дод 2'!AA80</f>
        <v>460419.26</v>
      </c>
      <c r="AA54" s="80">
        <f>'дод 2'!AB80</f>
        <v>1434970</v>
      </c>
      <c r="AB54" s="221"/>
      <c r="AC54" s="214"/>
    </row>
    <row r="55" spans="1:29" s="106" customFormat="1" ht="31.5" x14ac:dyDescent="0.25">
      <c r="A55" s="41" t="s">
        <v>309</v>
      </c>
      <c r="B55" s="41" t="s">
        <v>49</v>
      </c>
      <c r="C55" s="43" t="s">
        <v>310</v>
      </c>
      <c r="D55" s="75">
        <f>'дод 2'!E81</f>
        <v>3763400</v>
      </c>
      <c r="E55" s="75">
        <f>'дод 2'!F81</f>
        <v>3763400</v>
      </c>
      <c r="F55" s="75">
        <f>'дод 2'!G81</f>
        <v>2713000</v>
      </c>
      <c r="G55" s="75">
        <f>'дод 2'!H81</f>
        <v>315500</v>
      </c>
      <c r="H55" s="75">
        <f>'дод 2'!I81</f>
        <v>0</v>
      </c>
      <c r="I55" s="75">
        <f>'дод 2'!J81</f>
        <v>780291.78</v>
      </c>
      <c r="J55" s="75">
        <f>'дод 2'!K81</f>
        <v>562057.80000000005</v>
      </c>
      <c r="K55" s="75">
        <f>'дод 2'!L81</f>
        <v>91536.320000000007</v>
      </c>
      <c r="L55" s="168">
        <f t="shared" si="1"/>
        <v>20.733692405803264</v>
      </c>
      <c r="M55" s="75">
        <f>'дод 2'!N81</f>
        <v>0</v>
      </c>
      <c r="N55" s="75">
        <f>'дод 2'!O81</f>
        <v>0</v>
      </c>
      <c r="O55" s="75">
        <f>'дод 2'!P81</f>
        <v>0</v>
      </c>
      <c r="P55" s="75">
        <f>'дод 2'!Q81</f>
        <v>0</v>
      </c>
      <c r="Q55" s="75">
        <f>'дод 2'!R81</f>
        <v>0</v>
      </c>
      <c r="R55" s="75">
        <f>'дод 2'!S81</f>
        <v>0</v>
      </c>
      <c r="S55" s="75">
        <f>'дод 2'!T81</f>
        <v>58760</v>
      </c>
      <c r="T55" s="75">
        <f>'дод 2'!U81</f>
        <v>0</v>
      </c>
      <c r="U55" s="75">
        <f>'дод 2'!V81</f>
        <v>33390</v>
      </c>
      <c r="V55" s="75">
        <f>'дод 2'!W81</f>
        <v>0</v>
      </c>
      <c r="W55" s="75">
        <f>'дод 2'!X81</f>
        <v>0</v>
      </c>
      <c r="X55" s="75">
        <f>'дод 2'!Y81</f>
        <v>25370</v>
      </c>
      <c r="Y55" s="168"/>
      <c r="Z55" s="75">
        <f>'дод 2'!AA81</f>
        <v>839051.78</v>
      </c>
      <c r="AA55" s="75">
        <f>'дод 2'!AB81</f>
        <v>3763400</v>
      </c>
      <c r="AB55" s="221"/>
      <c r="AC55" s="214"/>
    </row>
    <row r="56" spans="1:29" s="106" customFormat="1" ht="74.849999999999994" customHeight="1" x14ac:dyDescent="0.25">
      <c r="A56" s="41" t="s">
        <v>425</v>
      </c>
      <c r="B56" s="41" t="s">
        <v>49</v>
      </c>
      <c r="C56" s="46" t="s">
        <v>424</v>
      </c>
      <c r="D56" s="75">
        <f>'дод 2'!E82</f>
        <v>1125107</v>
      </c>
      <c r="E56" s="75">
        <f>'дод 2'!F82</f>
        <v>1125107</v>
      </c>
      <c r="F56" s="75">
        <f>'дод 2'!G82</f>
        <v>0</v>
      </c>
      <c r="G56" s="75">
        <f>'дод 2'!H82</f>
        <v>0</v>
      </c>
      <c r="H56" s="75">
        <f>'дод 2'!I82</f>
        <v>0</v>
      </c>
      <c r="I56" s="75">
        <f>'дод 2'!J82</f>
        <v>0</v>
      </c>
      <c r="J56" s="75">
        <f>'дод 2'!K82</f>
        <v>0</v>
      </c>
      <c r="K56" s="75">
        <f>'дод 2'!L82</f>
        <v>0</v>
      </c>
      <c r="L56" s="168">
        <f t="shared" si="1"/>
        <v>0</v>
      </c>
      <c r="M56" s="75">
        <f>'дод 2'!N82</f>
        <v>3290393</v>
      </c>
      <c r="N56" s="75">
        <f>'дод 2'!O82</f>
        <v>3290393</v>
      </c>
      <c r="O56" s="75">
        <f>'дод 2'!P82</f>
        <v>0</v>
      </c>
      <c r="P56" s="75">
        <f>'дод 2'!Q82</f>
        <v>0</v>
      </c>
      <c r="Q56" s="75">
        <f>'дод 2'!R82</f>
        <v>0</v>
      </c>
      <c r="R56" s="75">
        <f>'дод 2'!S82</f>
        <v>3290393</v>
      </c>
      <c r="S56" s="75">
        <f>'дод 2'!T82</f>
        <v>0</v>
      </c>
      <c r="T56" s="75">
        <f>'дод 2'!U82</f>
        <v>0</v>
      </c>
      <c r="U56" s="75">
        <f>'дод 2'!V82</f>
        <v>0</v>
      </c>
      <c r="V56" s="75">
        <f>'дод 2'!W82</f>
        <v>0</v>
      </c>
      <c r="W56" s="75">
        <f>'дод 2'!X82</f>
        <v>0</v>
      </c>
      <c r="X56" s="75">
        <f>'дод 2'!Y82</f>
        <v>0</v>
      </c>
      <c r="Y56" s="168">
        <f t="shared" si="3"/>
        <v>0</v>
      </c>
      <c r="Z56" s="75">
        <f>'дод 2'!AA82</f>
        <v>0</v>
      </c>
      <c r="AA56" s="75">
        <f>'дод 2'!AB82</f>
        <v>4415500</v>
      </c>
      <c r="AB56" s="221">
        <v>3</v>
      </c>
      <c r="AC56" s="214"/>
    </row>
    <row r="57" spans="1:29" s="106" customFormat="1" ht="77.25" customHeight="1" x14ac:dyDescent="0.25">
      <c r="A57" s="41" t="s">
        <v>426</v>
      </c>
      <c r="B57" s="41" t="s">
        <v>49</v>
      </c>
      <c r="C57" s="46" t="s">
        <v>427</v>
      </c>
      <c r="D57" s="75">
        <f>'дод 2'!E83</f>
        <v>2625231</v>
      </c>
      <c r="E57" s="75">
        <f>'дод 2'!F83</f>
        <v>2625231</v>
      </c>
      <c r="F57" s="75">
        <f>'дод 2'!G83</f>
        <v>0</v>
      </c>
      <c r="G57" s="75">
        <f>'дод 2'!H83</f>
        <v>0</v>
      </c>
      <c r="H57" s="75">
        <f>'дод 2'!I83</f>
        <v>0</v>
      </c>
      <c r="I57" s="75">
        <f>'дод 2'!J83</f>
        <v>0</v>
      </c>
      <c r="J57" s="75">
        <f>'дод 2'!K83</f>
        <v>0</v>
      </c>
      <c r="K57" s="75">
        <f>'дод 2'!L83</f>
        <v>0</v>
      </c>
      <c r="L57" s="168">
        <f t="shared" si="1"/>
        <v>0</v>
      </c>
      <c r="M57" s="75">
        <f>'дод 2'!N83</f>
        <v>7677569</v>
      </c>
      <c r="N57" s="75">
        <f>'дод 2'!O83</f>
        <v>7677569</v>
      </c>
      <c r="O57" s="75">
        <f>'дод 2'!P83</f>
        <v>0</v>
      </c>
      <c r="P57" s="75">
        <f>'дод 2'!Q83</f>
        <v>0</v>
      </c>
      <c r="Q57" s="75">
        <f>'дод 2'!R83</f>
        <v>0</v>
      </c>
      <c r="R57" s="75">
        <f>'дод 2'!S83</f>
        <v>7677569</v>
      </c>
      <c r="S57" s="75">
        <f>'дод 2'!T83</f>
        <v>0</v>
      </c>
      <c r="T57" s="75">
        <f>'дод 2'!U83</f>
        <v>0</v>
      </c>
      <c r="U57" s="75">
        <f>'дод 2'!V83</f>
        <v>0</v>
      </c>
      <c r="V57" s="75">
        <f>'дод 2'!W83</f>
        <v>0</v>
      </c>
      <c r="W57" s="75">
        <f>'дод 2'!X83</f>
        <v>0</v>
      </c>
      <c r="X57" s="75">
        <f>'дод 2'!Y83</f>
        <v>0</v>
      </c>
      <c r="Y57" s="168">
        <f t="shared" si="3"/>
        <v>0</v>
      </c>
      <c r="Z57" s="75">
        <f>'дод 2'!AA83</f>
        <v>0</v>
      </c>
      <c r="AA57" s="75">
        <f>'дод 2'!AB83</f>
        <v>10302800</v>
      </c>
      <c r="AB57" s="221"/>
      <c r="AC57" s="214"/>
    </row>
    <row r="58" spans="1:29" s="106" customFormat="1" ht="59.85" customHeight="1" x14ac:dyDescent="0.25">
      <c r="A58" s="50"/>
      <c r="B58" s="50"/>
      <c r="C58" s="52" t="s">
        <v>428</v>
      </c>
      <c r="D58" s="75">
        <f>'дод 2'!E84</f>
        <v>2625231</v>
      </c>
      <c r="E58" s="75">
        <f>'дод 2'!F84</f>
        <v>2625231</v>
      </c>
      <c r="F58" s="75">
        <f>'дод 2'!G84</f>
        <v>0</v>
      </c>
      <c r="G58" s="75">
        <f>'дод 2'!H84</f>
        <v>0</v>
      </c>
      <c r="H58" s="75">
        <f>'дод 2'!I84</f>
        <v>0</v>
      </c>
      <c r="I58" s="75">
        <f>'дод 2'!J84</f>
        <v>0</v>
      </c>
      <c r="J58" s="75">
        <f>'дод 2'!K84</f>
        <v>0</v>
      </c>
      <c r="K58" s="75">
        <f>'дод 2'!L84</f>
        <v>0</v>
      </c>
      <c r="L58" s="168">
        <f t="shared" si="1"/>
        <v>0</v>
      </c>
      <c r="M58" s="75">
        <f>'дод 2'!N84</f>
        <v>7677569</v>
      </c>
      <c r="N58" s="75">
        <f>'дод 2'!O84</f>
        <v>7677569</v>
      </c>
      <c r="O58" s="75">
        <f>'дод 2'!P84</f>
        <v>0</v>
      </c>
      <c r="P58" s="75">
        <f>'дод 2'!Q84</f>
        <v>0</v>
      </c>
      <c r="Q58" s="75">
        <f>'дод 2'!R84</f>
        <v>0</v>
      </c>
      <c r="R58" s="75">
        <f>'дод 2'!S84</f>
        <v>7677569</v>
      </c>
      <c r="S58" s="75">
        <f>'дод 2'!T84</f>
        <v>0</v>
      </c>
      <c r="T58" s="75">
        <f>'дод 2'!U84</f>
        <v>0</v>
      </c>
      <c r="U58" s="75">
        <f>'дод 2'!V84</f>
        <v>0</v>
      </c>
      <c r="V58" s="75">
        <f>'дод 2'!W84</f>
        <v>0</v>
      </c>
      <c r="W58" s="75">
        <f>'дод 2'!X84</f>
        <v>0</v>
      </c>
      <c r="X58" s="75">
        <f>'дод 2'!Y84</f>
        <v>0</v>
      </c>
      <c r="Y58" s="168">
        <f t="shared" si="3"/>
        <v>0</v>
      </c>
      <c r="Z58" s="75">
        <f>'дод 2'!AA84</f>
        <v>0</v>
      </c>
      <c r="AA58" s="75">
        <f>'дод 2'!AB84</f>
        <v>10302800</v>
      </c>
      <c r="AB58" s="221"/>
      <c r="AC58" s="214"/>
    </row>
    <row r="59" spans="1:29" ht="69.599999999999994" customHeight="1" x14ac:dyDescent="0.25">
      <c r="A59" s="41" t="s">
        <v>431</v>
      </c>
      <c r="B59" s="41" t="s">
        <v>49</v>
      </c>
      <c r="C59" s="46" t="s">
        <v>432</v>
      </c>
      <c r="D59" s="75">
        <f>'дод 2'!E85</f>
        <v>891200</v>
      </c>
      <c r="E59" s="75">
        <f>'дод 2'!F85</f>
        <v>891200</v>
      </c>
      <c r="F59" s="75">
        <f>'дод 2'!G85</f>
        <v>730490</v>
      </c>
      <c r="G59" s="75">
        <f>'дод 2'!H85</f>
        <v>0</v>
      </c>
      <c r="H59" s="75">
        <f>'дод 2'!I85</f>
        <v>0</v>
      </c>
      <c r="I59" s="75">
        <f>'дод 2'!J85</f>
        <v>255893.98</v>
      </c>
      <c r="J59" s="75">
        <f>'дод 2'!K85</f>
        <v>209749.24</v>
      </c>
      <c r="K59" s="75">
        <f>'дод 2'!L85</f>
        <v>0</v>
      </c>
      <c r="L59" s="168">
        <f t="shared" si="1"/>
        <v>28.713417863554756</v>
      </c>
      <c r="M59" s="75">
        <f>'дод 2'!N85</f>
        <v>0</v>
      </c>
      <c r="N59" s="75">
        <f>'дод 2'!O85</f>
        <v>0</v>
      </c>
      <c r="O59" s="75">
        <f>'дод 2'!P85</f>
        <v>0</v>
      </c>
      <c r="P59" s="75">
        <f>'дод 2'!Q85</f>
        <v>0</v>
      </c>
      <c r="Q59" s="75">
        <f>'дод 2'!R85</f>
        <v>0</v>
      </c>
      <c r="R59" s="75">
        <f>'дод 2'!S85</f>
        <v>0</v>
      </c>
      <c r="S59" s="75">
        <f>'дод 2'!T85</f>
        <v>0</v>
      </c>
      <c r="T59" s="75">
        <f>'дод 2'!U85</f>
        <v>0</v>
      </c>
      <c r="U59" s="75">
        <f>'дод 2'!V85</f>
        <v>0</v>
      </c>
      <c r="V59" s="75">
        <f>'дод 2'!W85</f>
        <v>0</v>
      </c>
      <c r="W59" s="75">
        <f>'дод 2'!X85</f>
        <v>0</v>
      </c>
      <c r="X59" s="75">
        <f>'дод 2'!Y85</f>
        <v>0</v>
      </c>
      <c r="Y59" s="168"/>
      <c r="Z59" s="75">
        <f>'дод 2'!AA85</f>
        <v>255893.98</v>
      </c>
      <c r="AA59" s="75">
        <f>'дод 2'!AB85</f>
        <v>891200</v>
      </c>
      <c r="AB59" s="221"/>
      <c r="AC59" s="214"/>
    </row>
    <row r="60" spans="1:29" s="106" customFormat="1" ht="47.85" customHeight="1" x14ac:dyDescent="0.25">
      <c r="A60" s="50"/>
      <c r="B60" s="50"/>
      <c r="C60" s="52" t="s">
        <v>433</v>
      </c>
      <c r="D60" s="80">
        <f>'дод 2'!E86</f>
        <v>891200</v>
      </c>
      <c r="E60" s="80">
        <f>'дод 2'!F86</f>
        <v>891200</v>
      </c>
      <c r="F60" s="80">
        <f>'дод 2'!G86</f>
        <v>730490</v>
      </c>
      <c r="G60" s="80">
        <f>'дод 2'!H86</f>
        <v>0</v>
      </c>
      <c r="H60" s="80">
        <f>'дод 2'!I86</f>
        <v>0</v>
      </c>
      <c r="I60" s="80">
        <f>'дод 2'!J86</f>
        <v>255893.98</v>
      </c>
      <c r="J60" s="80">
        <f>'дод 2'!K86</f>
        <v>209749.24</v>
      </c>
      <c r="K60" s="80">
        <f>'дод 2'!L86</f>
        <v>0</v>
      </c>
      <c r="L60" s="170">
        <f t="shared" si="1"/>
        <v>28.713417863554756</v>
      </c>
      <c r="M60" s="80">
        <f>'дод 2'!N86</f>
        <v>0</v>
      </c>
      <c r="N60" s="80">
        <f>'дод 2'!O86</f>
        <v>0</v>
      </c>
      <c r="O60" s="80">
        <f>'дод 2'!P86</f>
        <v>0</v>
      </c>
      <c r="P60" s="80">
        <f>'дод 2'!Q86</f>
        <v>0</v>
      </c>
      <c r="Q60" s="80">
        <f>'дод 2'!R86</f>
        <v>0</v>
      </c>
      <c r="R60" s="80">
        <f>'дод 2'!S86</f>
        <v>0</v>
      </c>
      <c r="S60" s="80">
        <f>'дод 2'!T86</f>
        <v>0</v>
      </c>
      <c r="T60" s="80">
        <f>'дод 2'!U86</f>
        <v>0</v>
      </c>
      <c r="U60" s="80">
        <f>'дод 2'!V86</f>
        <v>0</v>
      </c>
      <c r="V60" s="80">
        <f>'дод 2'!W86</f>
        <v>0</v>
      </c>
      <c r="W60" s="80">
        <f>'дод 2'!X86</f>
        <v>0</v>
      </c>
      <c r="X60" s="80">
        <f>'дод 2'!Y86</f>
        <v>0</v>
      </c>
      <c r="Y60" s="170"/>
      <c r="Z60" s="80">
        <f>'дод 2'!AA86</f>
        <v>255893.98</v>
      </c>
      <c r="AA60" s="80">
        <f>'дод 2'!AB86</f>
        <v>891200</v>
      </c>
      <c r="AB60" s="221"/>
      <c r="AC60" s="214"/>
    </row>
    <row r="61" spans="1:29" s="117" customFormat="1" ht="120.75" customHeight="1" x14ac:dyDescent="0.25">
      <c r="A61" s="41" t="s">
        <v>450</v>
      </c>
      <c r="B61" s="41" t="s">
        <v>49</v>
      </c>
      <c r="C61" s="46" t="s">
        <v>451</v>
      </c>
      <c r="D61" s="75">
        <f>'дод 2'!E87</f>
        <v>0</v>
      </c>
      <c r="E61" s="75">
        <f>'дод 2'!F87</f>
        <v>0</v>
      </c>
      <c r="F61" s="75">
        <f>'дод 2'!G87</f>
        <v>0</v>
      </c>
      <c r="G61" s="75">
        <f>'дод 2'!H87</f>
        <v>0</v>
      </c>
      <c r="H61" s="75">
        <f>'дод 2'!I87</f>
        <v>0</v>
      </c>
      <c r="I61" s="75">
        <f>'дод 2'!J87</f>
        <v>0</v>
      </c>
      <c r="J61" s="75">
        <f>'дод 2'!K87</f>
        <v>0</v>
      </c>
      <c r="K61" s="75">
        <f>'дод 2'!L87</f>
        <v>0</v>
      </c>
      <c r="L61" s="168"/>
      <c r="M61" s="75">
        <f>'дод 2'!N87</f>
        <v>6615904</v>
      </c>
      <c r="N61" s="75">
        <f>'дод 2'!O87</f>
        <v>6615904</v>
      </c>
      <c r="O61" s="75">
        <f>'дод 2'!P87</f>
        <v>0</v>
      </c>
      <c r="P61" s="75">
        <f>'дод 2'!Q87</f>
        <v>0</v>
      </c>
      <c r="Q61" s="75">
        <f>'дод 2'!R87</f>
        <v>0</v>
      </c>
      <c r="R61" s="75">
        <f>'дод 2'!S87</f>
        <v>6615904</v>
      </c>
      <c r="S61" s="75">
        <f>'дод 2'!T87</f>
        <v>0</v>
      </c>
      <c r="T61" s="75">
        <f>'дод 2'!U87</f>
        <v>0</v>
      </c>
      <c r="U61" s="75">
        <f>'дод 2'!V87</f>
        <v>0</v>
      </c>
      <c r="V61" s="75">
        <f>'дод 2'!W87</f>
        <v>0</v>
      </c>
      <c r="W61" s="75">
        <f>'дод 2'!X87</f>
        <v>0</v>
      </c>
      <c r="X61" s="75">
        <f>'дод 2'!Y87</f>
        <v>0</v>
      </c>
      <c r="Y61" s="168">
        <f t="shared" si="3"/>
        <v>0</v>
      </c>
      <c r="Z61" s="75">
        <f>'дод 2'!AA87</f>
        <v>0</v>
      </c>
      <c r="AA61" s="75">
        <f>'дод 2'!AB87</f>
        <v>6615904</v>
      </c>
      <c r="AB61" s="221"/>
      <c r="AC61" s="214"/>
    </row>
    <row r="62" spans="1:29" s="117" customFormat="1" ht="115.35" customHeight="1" x14ac:dyDescent="0.25">
      <c r="A62" s="41" t="s">
        <v>486</v>
      </c>
      <c r="B62" s="41" t="s">
        <v>49</v>
      </c>
      <c r="C62" s="46" t="s">
        <v>487</v>
      </c>
      <c r="D62" s="75">
        <f>'дод 2'!E88</f>
        <v>0</v>
      </c>
      <c r="E62" s="75">
        <f>'дод 2'!F88</f>
        <v>0</v>
      </c>
      <c r="F62" s="75">
        <f>'дод 2'!G88</f>
        <v>0</v>
      </c>
      <c r="G62" s="75">
        <f>'дод 2'!H88</f>
        <v>0</v>
      </c>
      <c r="H62" s="75">
        <f>'дод 2'!I88</f>
        <v>0</v>
      </c>
      <c r="I62" s="75">
        <f>'дод 2'!J88</f>
        <v>0</v>
      </c>
      <c r="J62" s="75">
        <f>'дод 2'!K88</f>
        <v>0</v>
      </c>
      <c r="K62" s="75">
        <f>'дод 2'!L88</f>
        <v>0</v>
      </c>
      <c r="L62" s="168"/>
      <c r="M62" s="75">
        <f>'дод 2'!N88</f>
        <v>15081700</v>
      </c>
      <c r="N62" s="75">
        <f>'дод 2'!O88</f>
        <v>0</v>
      </c>
      <c r="O62" s="75">
        <f>'дод 2'!P88</f>
        <v>0</v>
      </c>
      <c r="P62" s="75">
        <f>'дод 2'!Q88</f>
        <v>0</v>
      </c>
      <c r="Q62" s="75">
        <f>'дод 2'!R88</f>
        <v>0</v>
      </c>
      <c r="R62" s="75">
        <f>'дод 2'!S88</f>
        <v>15081700</v>
      </c>
      <c r="S62" s="75">
        <f>'дод 2'!T88</f>
        <v>0</v>
      </c>
      <c r="T62" s="75">
        <f>'дод 2'!U88</f>
        <v>0</v>
      </c>
      <c r="U62" s="75">
        <f>'дод 2'!V88</f>
        <v>0</v>
      </c>
      <c r="V62" s="75">
        <f>'дод 2'!W88</f>
        <v>0</v>
      </c>
      <c r="W62" s="75">
        <f>'дод 2'!X88</f>
        <v>0</v>
      </c>
      <c r="X62" s="75">
        <f>'дод 2'!Y88</f>
        <v>0</v>
      </c>
      <c r="Y62" s="168">
        <f t="shared" si="3"/>
        <v>0</v>
      </c>
      <c r="Z62" s="75">
        <f>'дод 2'!AA88</f>
        <v>0</v>
      </c>
      <c r="AA62" s="75">
        <f>'дод 2'!AB88</f>
        <v>15081700</v>
      </c>
      <c r="AB62" s="221"/>
      <c r="AC62" s="214"/>
    </row>
    <row r="63" spans="1:29" s="118" customFormat="1" ht="45" customHeight="1" x14ac:dyDescent="0.25">
      <c r="A63" s="50"/>
      <c r="B63" s="50"/>
      <c r="C63" s="52" t="s">
        <v>402</v>
      </c>
      <c r="D63" s="80">
        <f>'дод 2'!E89</f>
        <v>0</v>
      </c>
      <c r="E63" s="80">
        <f>'дод 2'!F89</f>
        <v>0</v>
      </c>
      <c r="F63" s="80">
        <f>'дод 2'!G89</f>
        <v>0</v>
      </c>
      <c r="G63" s="80">
        <f>'дод 2'!H89</f>
        <v>0</v>
      </c>
      <c r="H63" s="80">
        <f>'дод 2'!I89</f>
        <v>0</v>
      </c>
      <c r="I63" s="80">
        <f>'дод 2'!J89</f>
        <v>0</v>
      </c>
      <c r="J63" s="80">
        <f>'дод 2'!K89</f>
        <v>0</v>
      </c>
      <c r="K63" s="80">
        <f>'дод 2'!L89</f>
        <v>0</v>
      </c>
      <c r="L63" s="170"/>
      <c r="M63" s="80">
        <f>'дод 2'!N89</f>
        <v>15081700</v>
      </c>
      <c r="N63" s="80">
        <f>'дод 2'!O89</f>
        <v>0</v>
      </c>
      <c r="O63" s="80">
        <f>'дод 2'!P89</f>
        <v>0</v>
      </c>
      <c r="P63" s="80">
        <f>'дод 2'!Q89</f>
        <v>0</v>
      </c>
      <c r="Q63" s="80">
        <f>'дод 2'!R89</f>
        <v>0</v>
      </c>
      <c r="R63" s="80">
        <f>'дод 2'!S89</f>
        <v>15081700</v>
      </c>
      <c r="S63" s="80">
        <f>'дод 2'!T89</f>
        <v>0</v>
      </c>
      <c r="T63" s="80">
        <f>'дод 2'!U89</f>
        <v>0</v>
      </c>
      <c r="U63" s="80">
        <f>'дод 2'!V89</f>
        <v>0</v>
      </c>
      <c r="V63" s="80">
        <f>'дод 2'!W89</f>
        <v>0</v>
      </c>
      <c r="W63" s="80">
        <f>'дод 2'!X89</f>
        <v>0</v>
      </c>
      <c r="X63" s="80">
        <f>'дод 2'!Y89</f>
        <v>0</v>
      </c>
      <c r="Y63" s="170">
        <f t="shared" si="3"/>
        <v>0</v>
      </c>
      <c r="Z63" s="80">
        <f>'дод 2'!AA89</f>
        <v>0</v>
      </c>
      <c r="AA63" s="80">
        <f>'дод 2'!AB89</f>
        <v>15081700</v>
      </c>
      <c r="AB63" s="221"/>
      <c r="AC63" s="214"/>
    </row>
    <row r="64" spans="1:29" ht="120.75" customHeight="1" x14ac:dyDescent="0.25">
      <c r="A64" s="41" t="s">
        <v>479</v>
      </c>
      <c r="B64" s="41" t="s">
        <v>49</v>
      </c>
      <c r="C64" s="46" t="s">
        <v>480</v>
      </c>
      <c r="D64" s="75">
        <f>'дод 2'!E201</f>
        <v>0</v>
      </c>
      <c r="E64" s="75">
        <f>'дод 2'!F201</f>
        <v>0</v>
      </c>
      <c r="F64" s="75">
        <f>'дод 2'!G201</f>
        <v>0</v>
      </c>
      <c r="G64" s="75">
        <f>'дод 2'!H201</f>
        <v>0</v>
      </c>
      <c r="H64" s="75">
        <f>'дод 2'!I201</f>
        <v>0</v>
      </c>
      <c r="I64" s="75">
        <f>'дод 2'!J201</f>
        <v>0</v>
      </c>
      <c r="J64" s="75">
        <f>'дод 2'!K201</f>
        <v>0</v>
      </c>
      <c r="K64" s="75">
        <f>'дод 2'!L201</f>
        <v>0</v>
      </c>
      <c r="L64" s="168"/>
      <c r="M64" s="75">
        <f>'дод 2'!N201</f>
        <v>112284866</v>
      </c>
      <c r="N64" s="75">
        <f>'дод 2'!O201</f>
        <v>112284866</v>
      </c>
      <c r="O64" s="75">
        <f>'дод 2'!P201</f>
        <v>0</v>
      </c>
      <c r="P64" s="75">
        <f>'дод 2'!Q201</f>
        <v>0</v>
      </c>
      <c r="Q64" s="75">
        <f>'дод 2'!R201</f>
        <v>0</v>
      </c>
      <c r="R64" s="75">
        <f>'дод 2'!S201</f>
        <v>112284866</v>
      </c>
      <c r="S64" s="75">
        <f>'дод 2'!T201</f>
        <v>10899871</v>
      </c>
      <c r="T64" s="75">
        <f>'дод 2'!U201</f>
        <v>10899871</v>
      </c>
      <c r="U64" s="75">
        <f>'дод 2'!V201</f>
        <v>0</v>
      </c>
      <c r="V64" s="75">
        <f>'дод 2'!W201</f>
        <v>0</v>
      </c>
      <c r="W64" s="75">
        <f>'дод 2'!X201</f>
        <v>0</v>
      </c>
      <c r="X64" s="75">
        <f>'дод 2'!Y201</f>
        <v>10899871</v>
      </c>
      <c r="Y64" s="168">
        <f t="shared" si="3"/>
        <v>9.707337585458756</v>
      </c>
      <c r="Z64" s="75">
        <f>'дод 2'!AA201</f>
        <v>10899871</v>
      </c>
      <c r="AA64" s="75">
        <f>'дод 2'!AB201</f>
        <v>112284866</v>
      </c>
      <c r="AB64" s="221"/>
      <c r="AC64" s="214"/>
    </row>
    <row r="65" spans="1:29" ht="111.75" customHeight="1" x14ac:dyDescent="0.25">
      <c r="A65" s="41" t="s">
        <v>483</v>
      </c>
      <c r="B65" s="41" t="s">
        <v>49</v>
      </c>
      <c r="C65" s="46" t="s">
        <v>484</v>
      </c>
      <c r="D65" s="75">
        <f>'дод 2'!E202</f>
        <v>0</v>
      </c>
      <c r="E65" s="75">
        <f>'дод 2'!F202</f>
        <v>0</v>
      </c>
      <c r="F65" s="75">
        <f>'дод 2'!G202</f>
        <v>0</v>
      </c>
      <c r="G65" s="75">
        <f>'дод 2'!H202</f>
        <v>0</v>
      </c>
      <c r="H65" s="75">
        <f>'дод 2'!I202</f>
        <v>0</v>
      </c>
      <c r="I65" s="75">
        <f>'дод 2'!J202</f>
        <v>0</v>
      </c>
      <c r="J65" s="75">
        <f>'дод 2'!K202</f>
        <v>0</v>
      </c>
      <c r="K65" s="75">
        <f>'дод 2'!L202</f>
        <v>0</v>
      </c>
      <c r="L65" s="168"/>
      <c r="M65" s="75">
        <f>'дод 2'!N202</f>
        <v>213902286</v>
      </c>
      <c r="N65" s="75">
        <f>'дод 2'!O202</f>
        <v>213902286</v>
      </c>
      <c r="O65" s="75">
        <f>'дод 2'!P202</f>
        <v>0</v>
      </c>
      <c r="P65" s="75">
        <f>'дод 2'!Q202</f>
        <v>0</v>
      </c>
      <c r="Q65" s="75">
        <f>'дод 2'!R202</f>
        <v>0</v>
      </c>
      <c r="R65" s="75">
        <f>'дод 2'!S202</f>
        <v>213902286</v>
      </c>
      <c r="S65" s="75">
        <f>'дод 2'!T202</f>
        <v>0</v>
      </c>
      <c r="T65" s="75">
        <f>'дод 2'!U202</f>
        <v>0</v>
      </c>
      <c r="U65" s="75">
        <f>'дод 2'!V202</f>
        <v>0</v>
      </c>
      <c r="V65" s="75">
        <f>'дод 2'!W202</f>
        <v>0</v>
      </c>
      <c r="W65" s="75">
        <f>'дод 2'!X202</f>
        <v>0</v>
      </c>
      <c r="X65" s="75">
        <f>'дод 2'!Y202</f>
        <v>0</v>
      </c>
      <c r="Y65" s="168">
        <f t="shared" si="3"/>
        <v>0</v>
      </c>
      <c r="Z65" s="75">
        <f>'дод 2'!AA202</f>
        <v>0</v>
      </c>
      <c r="AA65" s="75">
        <f>'дод 2'!AB202</f>
        <v>213902286</v>
      </c>
      <c r="AB65" s="221"/>
      <c r="AC65" s="214"/>
    </row>
    <row r="66" spans="1:29" ht="120.75" customHeight="1" x14ac:dyDescent="0.25">
      <c r="A66" s="41"/>
      <c r="B66" s="41"/>
      <c r="C66" s="52" t="s">
        <v>485</v>
      </c>
      <c r="D66" s="80">
        <f>'дод 2'!E203</f>
        <v>0</v>
      </c>
      <c r="E66" s="80">
        <f>'дод 2'!F203</f>
        <v>0</v>
      </c>
      <c r="F66" s="80">
        <f>'дод 2'!G203</f>
        <v>0</v>
      </c>
      <c r="G66" s="80">
        <f>'дод 2'!H203</f>
        <v>0</v>
      </c>
      <c r="H66" s="80">
        <f>'дод 2'!I203</f>
        <v>0</v>
      </c>
      <c r="I66" s="80">
        <f>'дод 2'!J203</f>
        <v>0</v>
      </c>
      <c r="J66" s="80">
        <f>'дод 2'!K203</f>
        <v>0</v>
      </c>
      <c r="K66" s="80">
        <f>'дод 2'!L203</f>
        <v>0</v>
      </c>
      <c r="L66" s="170"/>
      <c r="M66" s="80">
        <f>'дод 2'!N203</f>
        <v>213902286</v>
      </c>
      <c r="N66" s="80">
        <f>'дод 2'!O203</f>
        <v>213902286</v>
      </c>
      <c r="O66" s="80">
        <f>'дод 2'!P203</f>
        <v>0</v>
      </c>
      <c r="P66" s="80">
        <f>'дод 2'!Q203</f>
        <v>0</v>
      </c>
      <c r="Q66" s="80">
        <f>'дод 2'!R203</f>
        <v>0</v>
      </c>
      <c r="R66" s="80">
        <f>'дод 2'!S203</f>
        <v>213902286</v>
      </c>
      <c r="S66" s="80">
        <f>'дод 2'!T203</f>
        <v>0</v>
      </c>
      <c r="T66" s="80">
        <f>'дод 2'!U203</f>
        <v>0</v>
      </c>
      <c r="U66" s="80">
        <f>'дод 2'!V203</f>
        <v>0</v>
      </c>
      <c r="V66" s="80">
        <f>'дод 2'!W203</f>
        <v>0</v>
      </c>
      <c r="W66" s="80">
        <f>'дод 2'!X203</f>
        <v>0</v>
      </c>
      <c r="X66" s="80">
        <f>'дод 2'!Y203</f>
        <v>0</v>
      </c>
      <c r="Y66" s="170">
        <f t="shared" si="3"/>
        <v>0</v>
      </c>
      <c r="Z66" s="80">
        <f>'дод 2'!AA203</f>
        <v>0</v>
      </c>
      <c r="AA66" s="80">
        <f>'дод 2'!AB203</f>
        <v>213902286</v>
      </c>
      <c r="AB66" s="221"/>
      <c r="AC66" s="214"/>
    </row>
    <row r="67" spans="1:29" ht="28.35" customHeight="1" x14ac:dyDescent="0.25">
      <c r="A67" s="41" t="s">
        <v>453</v>
      </c>
      <c r="B67" s="41" t="s">
        <v>49</v>
      </c>
      <c r="C67" s="46" t="s">
        <v>469</v>
      </c>
      <c r="D67" s="75">
        <f>'дод 2'!E204+'дод 2'!E90</f>
        <v>0</v>
      </c>
      <c r="E67" s="75">
        <f>'дод 2'!F204+'дод 2'!F90</f>
        <v>0</v>
      </c>
      <c r="F67" s="75">
        <f>'дод 2'!G204+'дод 2'!G90</f>
        <v>0</v>
      </c>
      <c r="G67" s="75">
        <f>'дод 2'!H204+'дод 2'!H90</f>
        <v>0</v>
      </c>
      <c r="H67" s="75">
        <f>'дод 2'!I204+'дод 2'!I90</f>
        <v>0</v>
      </c>
      <c r="I67" s="75">
        <f>'дод 2'!J204+'дод 2'!J90</f>
        <v>0</v>
      </c>
      <c r="J67" s="75">
        <f>'дод 2'!K204+'дод 2'!K90</f>
        <v>0</v>
      </c>
      <c r="K67" s="75">
        <f>'дод 2'!L204+'дод 2'!L90</f>
        <v>0</v>
      </c>
      <c r="L67" s="168"/>
      <c r="M67" s="75">
        <f>'дод 2'!N204+'дод 2'!N90</f>
        <v>31354594.670000002</v>
      </c>
      <c r="N67" s="75">
        <f>'дод 2'!O204+'дод 2'!O90</f>
        <v>31354594.670000002</v>
      </c>
      <c r="O67" s="75">
        <f>'дод 2'!P204+'дод 2'!P90</f>
        <v>0</v>
      </c>
      <c r="P67" s="75">
        <f>'дод 2'!Q204+'дод 2'!Q90</f>
        <v>0</v>
      </c>
      <c r="Q67" s="75">
        <f>'дод 2'!R204+'дод 2'!R90</f>
        <v>0</v>
      </c>
      <c r="R67" s="75">
        <f>'дод 2'!S204+'дод 2'!S90</f>
        <v>31354594.670000002</v>
      </c>
      <c r="S67" s="75">
        <f>'дод 2'!T204+'дод 2'!T90</f>
        <v>5516209.3799999999</v>
      </c>
      <c r="T67" s="75">
        <f>'дод 2'!U204+'дод 2'!U90</f>
        <v>5516209.3799999999</v>
      </c>
      <c r="U67" s="75">
        <f>'дод 2'!V204+'дод 2'!V90</f>
        <v>0</v>
      </c>
      <c r="V67" s="75">
        <f>'дод 2'!W204+'дод 2'!W90</f>
        <v>0</v>
      </c>
      <c r="W67" s="75">
        <f>'дод 2'!X204+'дод 2'!X90</f>
        <v>0</v>
      </c>
      <c r="X67" s="75">
        <f>'дод 2'!Y204+'дод 2'!Y90</f>
        <v>5516209.3799999999</v>
      </c>
      <c r="Y67" s="168">
        <f t="shared" si="3"/>
        <v>17.592985774674659</v>
      </c>
      <c r="Z67" s="75">
        <f>'дод 2'!AA204+'дод 2'!AA90</f>
        <v>5516209.3799999999</v>
      </c>
      <c r="AA67" s="75">
        <f>'дод 2'!AB204+'дод 2'!AB90</f>
        <v>31354594.670000002</v>
      </c>
      <c r="AB67" s="221"/>
      <c r="AC67" s="214"/>
    </row>
    <row r="68" spans="1:29" ht="110.25" x14ac:dyDescent="0.25">
      <c r="A68" s="41"/>
      <c r="B68" s="41"/>
      <c r="C68" s="52" t="s">
        <v>448</v>
      </c>
      <c r="D68" s="80">
        <f>'дод 2'!E91</f>
        <v>0</v>
      </c>
      <c r="E68" s="80">
        <f>'дод 2'!F91</f>
        <v>0</v>
      </c>
      <c r="F68" s="80">
        <f>'дод 2'!G91</f>
        <v>0</v>
      </c>
      <c r="G68" s="80">
        <f>'дод 2'!H91</f>
        <v>0</v>
      </c>
      <c r="H68" s="80">
        <f>'дод 2'!I91</f>
        <v>0</v>
      </c>
      <c r="I68" s="80">
        <f>'дод 2'!J91</f>
        <v>0</v>
      </c>
      <c r="J68" s="80">
        <f>'дод 2'!K91</f>
        <v>0</v>
      </c>
      <c r="K68" s="80">
        <f>'дод 2'!L91</f>
        <v>0</v>
      </c>
      <c r="L68" s="170"/>
      <c r="M68" s="80">
        <f>'дод 2'!N91</f>
        <v>29463973.670000002</v>
      </c>
      <c r="N68" s="80">
        <f>'дод 2'!O91</f>
        <v>29463973.670000002</v>
      </c>
      <c r="O68" s="80">
        <f>'дод 2'!P91</f>
        <v>0</v>
      </c>
      <c r="P68" s="80">
        <f>'дод 2'!Q91</f>
        <v>0</v>
      </c>
      <c r="Q68" s="80">
        <f>'дод 2'!R91</f>
        <v>0</v>
      </c>
      <c r="R68" s="80">
        <f>'дод 2'!S91</f>
        <v>29463973.670000002</v>
      </c>
      <c r="S68" s="80">
        <f>'дод 2'!T91</f>
        <v>4618853.38</v>
      </c>
      <c r="T68" s="80">
        <f>'дод 2'!U91</f>
        <v>4618853.38</v>
      </c>
      <c r="U68" s="80">
        <f>'дод 2'!V91</f>
        <v>0</v>
      </c>
      <c r="V68" s="80">
        <f>'дод 2'!W91</f>
        <v>0</v>
      </c>
      <c r="W68" s="80">
        <f>'дод 2'!X91</f>
        <v>0</v>
      </c>
      <c r="X68" s="80">
        <f>'дод 2'!Y91</f>
        <v>4618853.38</v>
      </c>
      <c r="Y68" s="170">
        <f t="shared" si="3"/>
        <v>15.676274462269433</v>
      </c>
      <c r="Z68" s="80">
        <f>'дод 2'!AA91</f>
        <v>4618853.38</v>
      </c>
      <c r="AA68" s="80">
        <f>'дод 2'!AB91</f>
        <v>29463973.670000002</v>
      </c>
      <c r="AB68" s="221"/>
      <c r="AC68" s="214"/>
    </row>
    <row r="69" spans="1:29" ht="47.85" customHeight="1" x14ac:dyDescent="0.25">
      <c r="A69" s="41" t="s">
        <v>441</v>
      </c>
      <c r="B69" s="41" t="s">
        <v>49</v>
      </c>
      <c r="C69" s="46" t="s">
        <v>442</v>
      </c>
      <c r="D69" s="75">
        <f>'дод 2'!E92</f>
        <v>0</v>
      </c>
      <c r="E69" s="75">
        <f>'дод 2'!F92</f>
        <v>0</v>
      </c>
      <c r="F69" s="75">
        <f>'дод 2'!G92</f>
        <v>0</v>
      </c>
      <c r="G69" s="75">
        <f>'дод 2'!H92</f>
        <v>0</v>
      </c>
      <c r="H69" s="75">
        <f>'дод 2'!I92</f>
        <v>0</v>
      </c>
      <c r="I69" s="75">
        <f>'дод 2'!J92</f>
        <v>0</v>
      </c>
      <c r="J69" s="75">
        <f>'дод 2'!K92</f>
        <v>0</v>
      </c>
      <c r="K69" s="75">
        <f>'дод 2'!L92</f>
        <v>0</v>
      </c>
      <c r="L69" s="168"/>
      <c r="M69" s="75">
        <f>'дод 2'!N92</f>
        <v>22533600</v>
      </c>
      <c r="N69" s="75">
        <f>'дод 2'!O92</f>
        <v>0</v>
      </c>
      <c r="O69" s="75">
        <f>'дод 2'!P92</f>
        <v>22533600</v>
      </c>
      <c r="P69" s="75">
        <f>'дод 2'!Q92</f>
        <v>0</v>
      </c>
      <c r="Q69" s="75">
        <f>'дод 2'!R92</f>
        <v>0</v>
      </c>
      <c r="R69" s="75">
        <f>'дод 2'!S92</f>
        <v>0</v>
      </c>
      <c r="S69" s="75">
        <f>'дод 2'!T92</f>
        <v>2409535.29</v>
      </c>
      <c r="T69" s="75">
        <f>'дод 2'!U92</f>
        <v>0</v>
      </c>
      <c r="U69" s="75">
        <f>'дод 2'!V92</f>
        <v>2409535.29</v>
      </c>
      <c r="V69" s="75">
        <f>'дод 2'!W92</f>
        <v>0</v>
      </c>
      <c r="W69" s="75">
        <f>'дод 2'!X92</f>
        <v>0</v>
      </c>
      <c r="X69" s="75">
        <f>'дод 2'!Y92</f>
        <v>0</v>
      </c>
      <c r="Y69" s="168">
        <f t="shared" si="3"/>
        <v>10.693077404409415</v>
      </c>
      <c r="Z69" s="75">
        <f>'дод 2'!AA92</f>
        <v>2409535.29</v>
      </c>
      <c r="AA69" s="75">
        <f>'дод 2'!AB92</f>
        <v>22533600</v>
      </c>
      <c r="AB69" s="221">
        <v>4</v>
      </c>
      <c r="AC69" s="214"/>
    </row>
    <row r="70" spans="1:29" s="106" customFormat="1" ht="47.85" customHeight="1" x14ac:dyDescent="0.25">
      <c r="A70" s="50"/>
      <c r="B70" s="50"/>
      <c r="C70" s="55" t="s">
        <v>443</v>
      </c>
      <c r="D70" s="80">
        <f>'дод 2'!E93</f>
        <v>0</v>
      </c>
      <c r="E70" s="80">
        <f>'дод 2'!F93</f>
        <v>0</v>
      </c>
      <c r="F70" s="80">
        <f>'дод 2'!G93</f>
        <v>0</v>
      </c>
      <c r="G70" s="80">
        <f>'дод 2'!H93</f>
        <v>0</v>
      </c>
      <c r="H70" s="80">
        <f>'дод 2'!I93</f>
        <v>0</v>
      </c>
      <c r="I70" s="80">
        <f>'дод 2'!J93</f>
        <v>0</v>
      </c>
      <c r="J70" s="80">
        <f>'дод 2'!K93</f>
        <v>0</v>
      </c>
      <c r="K70" s="80">
        <f>'дод 2'!L93</f>
        <v>0</v>
      </c>
      <c r="L70" s="170"/>
      <c r="M70" s="80">
        <f>'дод 2'!N93</f>
        <v>22533600</v>
      </c>
      <c r="N70" s="80">
        <f>'дод 2'!O93</f>
        <v>0</v>
      </c>
      <c r="O70" s="80">
        <f>'дод 2'!P93</f>
        <v>22533600</v>
      </c>
      <c r="P70" s="80">
        <f>'дод 2'!Q93</f>
        <v>0</v>
      </c>
      <c r="Q70" s="80">
        <f>'дод 2'!R93</f>
        <v>0</v>
      </c>
      <c r="R70" s="80">
        <f>'дод 2'!S93</f>
        <v>0</v>
      </c>
      <c r="S70" s="80">
        <f>'дод 2'!T93</f>
        <v>2409535.29</v>
      </c>
      <c r="T70" s="80">
        <f>'дод 2'!U93</f>
        <v>0</v>
      </c>
      <c r="U70" s="80">
        <f>'дод 2'!V93</f>
        <v>2409535.29</v>
      </c>
      <c r="V70" s="80">
        <f>'дод 2'!W93</f>
        <v>0</v>
      </c>
      <c r="W70" s="80">
        <f>'дод 2'!X93</f>
        <v>0</v>
      </c>
      <c r="X70" s="80">
        <f>'дод 2'!Y93</f>
        <v>0</v>
      </c>
      <c r="Y70" s="170">
        <f t="shared" si="3"/>
        <v>10.693077404409415</v>
      </c>
      <c r="Z70" s="80">
        <f>'дод 2'!AA93</f>
        <v>2409535.29</v>
      </c>
      <c r="AA70" s="80">
        <f>'дод 2'!AB93</f>
        <v>22533600</v>
      </c>
      <c r="AB70" s="221"/>
      <c r="AC70" s="214"/>
    </row>
    <row r="71" spans="1:29" ht="69" customHeight="1" x14ac:dyDescent="0.25">
      <c r="A71" s="41" t="s">
        <v>434</v>
      </c>
      <c r="B71" s="41" t="s">
        <v>49</v>
      </c>
      <c r="C71" s="46" t="s">
        <v>435</v>
      </c>
      <c r="D71" s="75">
        <f>'дод 2'!E94</f>
        <v>24742100</v>
      </c>
      <c r="E71" s="75">
        <f>'дод 2'!F94</f>
        <v>24742100</v>
      </c>
      <c r="F71" s="75">
        <f>'дод 2'!G94</f>
        <v>20280410</v>
      </c>
      <c r="G71" s="75">
        <f>'дод 2'!H94</f>
        <v>0</v>
      </c>
      <c r="H71" s="75">
        <f>'дод 2'!I94</f>
        <v>0</v>
      </c>
      <c r="I71" s="75">
        <f>'дод 2'!J94</f>
        <v>11741598.029999999</v>
      </c>
      <c r="J71" s="75">
        <f>'дод 2'!K94</f>
        <v>9662411.7799999993</v>
      </c>
      <c r="K71" s="75">
        <f>'дод 2'!L94</f>
        <v>0</v>
      </c>
      <c r="L71" s="168">
        <f t="shared" si="1"/>
        <v>47.455947676227964</v>
      </c>
      <c r="M71" s="75">
        <f>'дод 2'!N94</f>
        <v>0</v>
      </c>
      <c r="N71" s="75">
        <f>'дод 2'!O94</f>
        <v>0</v>
      </c>
      <c r="O71" s="75">
        <f>'дод 2'!P94</f>
        <v>0</v>
      </c>
      <c r="P71" s="75">
        <f>'дод 2'!Q94</f>
        <v>0</v>
      </c>
      <c r="Q71" s="75">
        <f>'дод 2'!R94</f>
        <v>0</v>
      </c>
      <c r="R71" s="75">
        <f>'дод 2'!S94</f>
        <v>0</v>
      </c>
      <c r="S71" s="75">
        <f>'дод 2'!T94</f>
        <v>0</v>
      </c>
      <c r="T71" s="75">
        <f>'дод 2'!U94</f>
        <v>0</v>
      </c>
      <c r="U71" s="75">
        <f>'дод 2'!V94</f>
        <v>0</v>
      </c>
      <c r="V71" s="75">
        <f>'дод 2'!W94</f>
        <v>0</v>
      </c>
      <c r="W71" s="75">
        <f>'дод 2'!X94</f>
        <v>0</v>
      </c>
      <c r="X71" s="75">
        <f>'дод 2'!Y94</f>
        <v>0</v>
      </c>
      <c r="Y71" s="168"/>
      <c r="Z71" s="75">
        <f>'дод 2'!AA94</f>
        <v>11741598.029999999</v>
      </c>
      <c r="AA71" s="75">
        <f>'дод 2'!AB94</f>
        <v>24742100</v>
      </c>
      <c r="AB71" s="221"/>
      <c r="AC71" s="214"/>
    </row>
    <row r="72" spans="1:29" s="106" customFormat="1" ht="54" customHeight="1" x14ac:dyDescent="0.25">
      <c r="A72" s="50"/>
      <c r="B72" s="50"/>
      <c r="C72" s="52" t="s">
        <v>436</v>
      </c>
      <c r="D72" s="80">
        <f>'дод 2'!E95</f>
        <v>24742100</v>
      </c>
      <c r="E72" s="80">
        <f>'дод 2'!F95</f>
        <v>24742100</v>
      </c>
      <c r="F72" s="80">
        <f>'дод 2'!G95</f>
        <v>20280410</v>
      </c>
      <c r="G72" s="80">
        <f>'дод 2'!H95</f>
        <v>0</v>
      </c>
      <c r="H72" s="80">
        <f>'дод 2'!I95</f>
        <v>0</v>
      </c>
      <c r="I72" s="80">
        <f>'дод 2'!J95</f>
        <v>11741598.029999999</v>
      </c>
      <c r="J72" s="80">
        <f>'дод 2'!K95</f>
        <v>9662411.7799999993</v>
      </c>
      <c r="K72" s="80">
        <f>'дод 2'!L95</f>
        <v>0</v>
      </c>
      <c r="L72" s="170">
        <f t="shared" si="1"/>
        <v>47.455947676227964</v>
      </c>
      <c r="M72" s="80">
        <f>'дод 2'!N95</f>
        <v>0</v>
      </c>
      <c r="N72" s="80">
        <f>'дод 2'!O95</f>
        <v>0</v>
      </c>
      <c r="O72" s="80">
        <f>'дод 2'!P95</f>
        <v>0</v>
      </c>
      <c r="P72" s="80">
        <f>'дод 2'!Q95</f>
        <v>0</v>
      </c>
      <c r="Q72" s="80">
        <f>'дод 2'!R95</f>
        <v>0</v>
      </c>
      <c r="R72" s="80">
        <f>'дод 2'!S95</f>
        <v>0</v>
      </c>
      <c r="S72" s="80">
        <f>'дод 2'!T95</f>
        <v>0</v>
      </c>
      <c r="T72" s="80">
        <f>'дод 2'!U95</f>
        <v>0</v>
      </c>
      <c r="U72" s="80">
        <f>'дод 2'!V95</f>
        <v>0</v>
      </c>
      <c r="V72" s="80">
        <f>'дод 2'!W95</f>
        <v>0</v>
      </c>
      <c r="W72" s="80">
        <f>'дод 2'!X95</f>
        <v>0</v>
      </c>
      <c r="X72" s="80">
        <f>'дод 2'!Y95</f>
        <v>0</v>
      </c>
      <c r="Y72" s="170"/>
      <c r="Z72" s="80">
        <f>'дод 2'!AA95</f>
        <v>11741598.029999999</v>
      </c>
      <c r="AA72" s="80">
        <f>'дод 2'!AB95</f>
        <v>24742100</v>
      </c>
      <c r="AB72" s="221"/>
      <c r="AC72" s="214"/>
    </row>
    <row r="73" spans="1:29" ht="65.25" customHeight="1" x14ac:dyDescent="0.25">
      <c r="A73" s="41" t="s">
        <v>445</v>
      </c>
      <c r="B73" s="41" t="s">
        <v>49</v>
      </c>
      <c r="C73" s="96" t="s">
        <v>446</v>
      </c>
      <c r="D73" s="75">
        <f>'дод 2'!E96</f>
        <v>0</v>
      </c>
      <c r="E73" s="75">
        <f>'дод 2'!F96</f>
        <v>0</v>
      </c>
      <c r="F73" s="75">
        <f>'дод 2'!G96</f>
        <v>0</v>
      </c>
      <c r="G73" s="75">
        <f>'дод 2'!H96</f>
        <v>0</v>
      </c>
      <c r="H73" s="75">
        <f>'дод 2'!I96</f>
        <v>0</v>
      </c>
      <c r="I73" s="75">
        <f>'дод 2'!J96</f>
        <v>0</v>
      </c>
      <c r="J73" s="75">
        <f>'дод 2'!K96</f>
        <v>0</v>
      </c>
      <c r="K73" s="75">
        <f>'дод 2'!L96</f>
        <v>0</v>
      </c>
      <c r="L73" s="168"/>
      <c r="M73" s="75">
        <f>'дод 2'!N96</f>
        <v>5785800</v>
      </c>
      <c r="N73" s="75">
        <f>'дод 2'!O96</f>
        <v>0</v>
      </c>
      <c r="O73" s="75">
        <f>'дод 2'!P96</f>
        <v>5785800</v>
      </c>
      <c r="P73" s="75">
        <f>'дод 2'!Q96</f>
        <v>0</v>
      </c>
      <c r="Q73" s="75">
        <f>'дод 2'!R96</f>
        <v>0</v>
      </c>
      <c r="R73" s="75">
        <f>'дод 2'!S96</f>
        <v>0</v>
      </c>
      <c r="S73" s="75">
        <f>'дод 2'!T96</f>
        <v>1052461.45</v>
      </c>
      <c r="T73" s="75">
        <f>'дод 2'!U96</f>
        <v>0</v>
      </c>
      <c r="U73" s="75">
        <f>'дод 2'!V96</f>
        <v>1052461.45</v>
      </c>
      <c r="V73" s="75">
        <f>'дод 2'!W96</f>
        <v>0</v>
      </c>
      <c r="W73" s="75">
        <f>'дод 2'!X96</f>
        <v>0</v>
      </c>
      <c r="X73" s="75">
        <f>'дод 2'!Y96</f>
        <v>0</v>
      </c>
      <c r="Y73" s="168">
        <f t="shared" si="3"/>
        <v>18.190422240658162</v>
      </c>
      <c r="Z73" s="75">
        <f>'дод 2'!AA96</f>
        <v>1052461.45</v>
      </c>
      <c r="AA73" s="75">
        <f>'дод 2'!AB96</f>
        <v>5785800</v>
      </c>
      <c r="AB73" s="221"/>
      <c r="AC73" s="214"/>
    </row>
    <row r="74" spans="1:29" s="106" customFormat="1" ht="71.099999999999994" customHeight="1" x14ac:dyDescent="0.25">
      <c r="A74" s="50"/>
      <c r="B74" s="50"/>
      <c r="C74" s="52" t="s">
        <v>449</v>
      </c>
      <c r="D74" s="80">
        <f>'дод 2'!E97</f>
        <v>0</v>
      </c>
      <c r="E74" s="80">
        <f>'дод 2'!F97</f>
        <v>0</v>
      </c>
      <c r="F74" s="80">
        <f>'дод 2'!G97</f>
        <v>0</v>
      </c>
      <c r="G74" s="80">
        <f>'дод 2'!H97</f>
        <v>0</v>
      </c>
      <c r="H74" s="80">
        <f>'дод 2'!I97</f>
        <v>0</v>
      </c>
      <c r="I74" s="80">
        <f>'дод 2'!J97</f>
        <v>0</v>
      </c>
      <c r="J74" s="80">
        <f>'дод 2'!K97</f>
        <v>0</v>
      </c>
      <c r="K74" s="80">
        <f>'дод 2'!L97</f>
        <v>0</v>
      </c>
      <c r="L74" s="170"/>
      <c r="M74" s="80">
        <f>'дод 2'!N97</f>
        <v>2892900</v>
      </c>
      <c r="N74" s="80">
        <f>'дод 2'!O97</f>
        <v>0</v>
      </c>
      <c r="O74" s="80">
        <f>'дод 2'!P97</f>
        <v>2892900</v>
      </c>
      <c r="P74" s="80">
        <f>'дод 2'!Q97</f>
        <v>0</v>
      </c>
      <c r="Q74" s="80">
        <f>'дод 2'!R97</f>
        <v>0</v>
      </c>
      <c r="R74" s="80">
        <f>'дод 2'!S97</f>
        <v>0</v>
      </c>
      <c r="S74" s="80">
        <f>'дод 2'!T97</f>
        <v>1052461.45</v>
      </c>
      <c r="T74" s="80">
        <f>'дод 2'!U97</f>
        <v>0</v>
      </c>
      <c r="U74" s="80">
        <f>'дод 2'!V97</f>
        <v>1052461.45</v>
      </c>
      <c r="V74" s="80">
        <f>'дод 2'!W97</f>
        <v>0</v>
      </c>
      <c r="W74" s="80">
        <f>'дод 2'!X97</f>
        <v>0</v>
      </c>
      <c r="X74" s="80">
        <f>'дод 2'!Y97</f>
        <v>0</v>
      </c>
      <c r="Y74" s="170">
        <f t="shared" si="3"/>
        <v>36.380844481316323</v>
      </c>
      <c r="Z74" s="80">
        <f>'дод 2'!AA97</f>
        <v>1052461.45</v>
      </c>
      <c r="AA74" s="80">
        <f>'дод 2'!AB97</f>
        <v>2892900</v>
      </c>
      <c r="AB74" s="221"/>
      <c r="AC74" s="214"/>
    </row>
    <row r="75" spans="1:29" s="106" customFormat="1" ht="71.099999999999994" customHeight="1" x14ac:dyDescent="0.25">
      <c r="A75" s="50"/>
      <c r="B75" s="50"/>
      <c r="C75" s="52" t="s">
        <v>489</v>
      </c>
      <c r="D75" s="80">
        <f>'дод 2'!E98</f>
        <v>0</v>
      </c>
      <c r="E75" s="80">
        <f>'дод 2'!F98</f>
        <v>0</v>
      </c>
      <c r="F75" s="80">
        <f>'дод 2'!G98</f>
        <v>0</v>
      </c>
      <c r="G75" s="80">
        <f>'дод 2'!H98</f>
        <v>0</v>
      </c>
      <c r="H75" s="80">
        <f>'дод 2'!I98</f>
        <v>0</v>
      </c>
      <c r="I75" s="80">
        <f>'дод 2'!J98</f>
        <v>0</v>
      </c>
      <c r="J75" s="80">
        <f>'дод 2'!K98</f>
        <v>0</v>
      </c>
      <c r="K75" s="80">
        <f>'дод 2'!L98</f>
        <v>0</v>
      </c>
      <c r="L75" s="170"/>
      <c r="M75" s="80">
        <f>'дод 2'!N98</f>
        <v>2892900</v>
      </c>
      <c r="N75" s="80">
        <f>'дод 2'!O98</f>
        <v>0</v>
      </c>
      <c r="O75" s="80">
        <f>'дод 2'!P98</f>
        <v>2892900</v>
      </c>
      <c r="P75" s="80">
        <f>'дод 2'!Q98</f>
        <v>0</v>
      </c>
      <c r="Q75" s="80">
        <f>'дод 2'!R98</f>
        <v>0</v>
      </c>
      <c r="R75" s="80">
        <f>'дод 2'!S98</f>
        <v>0</v>
      </c>
      <c r="S75" s="80">
        <f>'дод 2'!T98</f>
        <v>0</v>
      </c>
      <c r="T75" s="80">
        <f>'дод 2'!U98</f>
        <v>0</v>
      </c>
      <c r="U75" s="80">
        <f>'дод 2'!V98</f>
        <v>0</v>
      </c>
      <c r="V75" s="80">
        <f>'дод 2'!W98</f>
        <v>0</v>
      </c>
      <c r="W75" s="80">
        <f>'дод 2'!X98</f>
        <v>0</v>
      </c>
      <c r="X75" s="80">
        <f>'дод 2'!Y98</f>
        <v>0</v>
      </c>
      <c r="Y75" s="170">
        <f t="shared" si="3"/>
        <v>0</v>
      </c>
      <c r="Z75" s="80">
        <f>'дод 2'!AA98</f>
        <v>0</v>
      </c>
      <c r="AA75" s="80">
        <f>'дод 2'!AB98</f>
        <v>2892900</v>
      </c>
      <c r="AB75" s="221"/>
      <c r="AC75" s="214"/>
    </row>
    <row r="76" spans="1:29" s="105" customFormat="1" ht="19.5" customHeight="1" x14ac:dyDescent="0.25">
      <c r="A76" s="76" t="s">
        <v>50</v>
      </c>
      <c r="B76" s="47"/>
      <c r="C76" s="71" t="s">
        <v>373</v>
      </c>
      <c r="D76" s="72">
        <f>D77+D78+D79+D80+D81+D82+D83</f>
        <v>133109612</v>
      </c>
      <c r="E76" s="72">
        <f t="shared" ref="E76:AA76" si="16">E77+E78+E79+E80+E81+E82+E83</f>
        <v>133109612</v>
      </c>
      <c r="F76" s="72">
        <f t="shared" si="16"/>
        <v>3252200</v>
      </c>
      <c r="G76" s="72">
        <f t="shared" si="16"/>
        <v>170000</v>
      </c>
      <c r="H76" s="72">
        <f t="shared" si="16"/>
        <v>0</v>
      </c>
      <c r="I76" s="72">
        <f t="shared" si="16"/>
        <v>29356356.070000004</v>
      </c>
      <c r="J76" s="72">
        <f t="shared" si="16"/>
        <v>791681.59</v>
      </c>
      <c r="K76" s="72">
        <f t="shared" si="16"/>
        <v>55538.84</v>
      </c>
      <c r="L76" s="167">
        <f t="shared" si="1"/>
        <v>22.054272136260156</v>
      </c>
      <c r="M76" s="72">
        <f t="shared" si="16"/>
        <v>12545220</v>
      </c>
      <c r="N76" s="72">
        <f t="shared" si="16"/>
        <v>12545220</v>
      </c>
      <c r="O76" s="72">
        <f t="shared" si="16"/>
        <v>0</v>
      </c>
      <c r="P76" s="72">
        <f t="shared" si="16"/>
        <v>0</v>
      </c>
      <c r="Q76" s="72">
        <f t="shared" si="16"/>
        <v>0</v>
      </c>
      <c r="R76" s="72">
        <f t="shared" si="16"/>
        <v>12545220</v>
      </c>
      <c r="S76" s="72">
        <f t="shared" si="16"/>
        <v>301127.71999999997</v>
      </c>
      <c r="T76" s="72">
        <f t="shared" si="16"/>
        <v>0</v>
      </c>
      <c r="U76" s="72">
        <f t="shared" si="16"/>
        <v>301127.71999999997</v>
      </c>
      <c r="V76" s="72">
        <f t="shared" si="16"/>
        <v>0</v>
      </c>
      <c r="W76" s="72">
        <f t="shared" si="16"/>
        <v>0</v>
      </c>
      <c r="X76" s="72">
        <f t="shared" si="16"/>
        <v>0</v>
      </c>
      <c r="Y76" s="167">
        <f t="shared" si="3"/>
        <v>2.4003382961797399</v>
      </c>
      <c r="Z76" s="72">
        <f t="shared" si="16"/>
        <v>29657483.790000003</v>
      </c>
      <c r="AA76" s="72">
        <f t="shared" si="16"/>
        <v>145654832</v>
      </c>
      <c r="AB76" s="221"/>
      <c r="AC76" s="214"/>
    </row>
    <row r="77" spans="1:29" ht="25.5" customHeight="1" x14ac:dyDescent="0.25">
      <c r="A77" s="73" t="s">
        <v>51</v>
      </c>
      <c r="B77" s="73" t="s">
        <v>52</v>
      </c>
      <c r="C77" s="74" t="s">
        <v>326</v>
      </c>
      <c r="D77" s="75">
        <f>'дод 2'!E107</f>
        <v>79224812</v>
      </c>
      <c r="E77" s="75">
        <f>'дод 2'!F107</f>
        <v>79224812</v>
      </c>
      <c r="F77" s="75">
        <f>'дод 2'!G107</f>
        <v>0</v>
      </c>
      <c r="G77" s="75">
        <f>'дод 2'!H107</f>
        <v>0</v>
      </c>
      <c r="H77" s="75">
        <f>'дод 2'!I107</f>
        <v>0</v>
      </c>
      <c r="I77" s="75">
        <f>'дод 2'!J107</f>
        <v>18527450.010000002</v>
      </c>
      <c r="J77" s="75">
        <f>'дод 2'!K107</f>
        <v>0</v>
      </c>
      <c r="K77" s="75">
        <f>'дод 2'!L107</f>
        <v>0</v>
      </c>
      <c r="L77" s="168">
        <f t="shared" si="1"/>
        <v>23.385918555414182</v>
      </c>
      <c r="M77" s="75">
        <f>'дод 2'!N107</f>
        <v>6500000</v>
      </c>
      <c r="N77" s="75">
        <f>'дод 2'!O107</f>
        <v>6500000</v>
      </c>
      <c r="O77" s="75">
        <f>'дод 2'!P107</f>
        <v>0</v>
      </c>
      <c r="P77" s="75">
        <f>'дод 2'!Q107</f>
        <v>0</v>
      </c>
      <c r="Q77" s="75">
        <f>'дод 2'!R107</f>
        <v>0</v>
      </c>
      <c r="R77" s="75">
        <f>'дод 2'!S107</f>
        <v>6500000</v>
      </c>
      <c r="S77" s="75">
        <f>'дод 2'!T107</f>
        <v>0</v>
      </c>
      <c r="T77" s="75">
        <f>'дод 2'!U107</f>
        <v>0</v>
      </c>
      <c r="U77" s="75">
        <f>'дод 2'!V107</f>
        <v>0</v>
      </c>
      <c r="V77" s="75">
        <f>'дод 2'!W107</f>
        <v>0</v>
      </c>
      <c r="W77" s="75">
        <f>'дод 2'!X107</f>
        <v>0</v>
      </c>
      <c r="X77" s="75">
        <f>'дод 2'!Y107</f>
        <v>0</v>
      </c>
      <c r="Y77" s="168">
        <f t="shared" si="3"/>
        <v>0</v>
      </c>
      <c r="Z77" s="75">
        <f>'дод 2'!AA107</f>
        <v>18527450.010000002</v>
      </c>
      <c r="AA77" s="75">
        <f>'дод 2'!AB107</f>
        <v>85724812</v>
      </c>
      <c r="AB77" s="221"/>
      <c r="AC77" s="214"/>
    </row>
    <row r="78" spans="1:29" ht="36.75" customHeight="1" x14ac:dyDescent="0.25">
      <c r="A78" s="73" t="s">
        <v>101</v>
      </c>
      <c r="B78" s="73" t="s">
        <v>53</v>
      </c>
      <c r="C78" s="74" t="s">
        <v>295</v>
      </c>
      <c r="D78" s="75">
        <f>'дод 2'!E108</f>
        <v>6632300</v>
      </c>
      <c r="E78" s="75">
        <f>'дод 2'!F108</f>
        <v>6632300</v>
      </c>
      <c r="F78" s="75">
        <f>'дод 2'!G108</f>
        <v>0</v>
      </c>
      <c r="G78" s="75">
        <f>'дод 2'!H108</f>
        <v>0</v>
      </c>
      <c r="H78" s="75">
        <f>'дод 2'!I108</f>
        <v>0</v>
      </c>
      <c r="I78" s="75">
        <f>'дод 2'!J108</f>
        <v>1515899.78</v>
      </c>
      <c r="J78" s="75">
        <f>'дод 2'!K108</f>
        <v>0</v>
      </c>
      <c r="K78" s="75">
        <f>'дод 2'!L108</f>
        <v>0</v>
      </c>
      <c r="L78" s="168">
        <f t="shared" si="1"/>
        <v>22.856321034935089</v>
      </c>
      <c r="M78" s="75">
        <f>'дод 2'!N108</f>
        <v>0</v>
      </c>
      <c r="N78" s="75">
        <f>'дод 2'!O108</f>
        <v>0</v>
      </c>
      <c r="O78" s="75">
        <f>'дод 2'!P108</f>
        <v>0</v>
      </c>
      <c r="P78" s="75">
        <f>'дод 2'!Q108</f>
        <v>0</v>
      </c>
      <c r="Q78" s="75">
        <f>'дод 2'!R108</f>
        <v>0</v>
      </c>
      <c r="R78" s="75">
        <f>'дод 2'!S108</f>
        <v>0</v>
      </c>
      <c r="S78" s="75">
        <f>'дод 2'!T108</f>
        <v>0</v>
      </c>
      <c r="T78" s="75">
        <f>'дод 2'!U108</f>
        <v>0</v>
      </c>
      <c r="U78" s="75">
        <f>'дод 2'!V108</f>
        <v>0</v>
      </c>
      <c r="V78" s="75">
        <f>'дод 2'!W108</f>
        <v>0</v>
      </c>
      <c r="W78" s="75">
        <f>'дод 2'!X108</f>
        <v>0</v>
      </c>
      <c r="X78" s="75">
        <f>'дод 2'!Y108</f>
        <v>0</v>
      </c>
      <c r="Y78" s="168"/>
      <c r="Z78" s="75">
        <f>'дод 2'!AA108</f>
        <v>1515899.78</v>
      </c>
      <c r="AA78" s="75">
        <f>'дод 2'!AB108</f>
        <v>6632300</v>
      </c>
      <c r="AB78" s="221"/>
      <c r="AC78" s="214"/>
    </row>
    <row r="79" spans="1:29" ht="19.5" customHeight="1" x14ac:dyDescent="0.25">
      <c r="A79" s="73" t="s">
        <v>102</v>
      </c>
      <c r="B79" s="73" t="s">
        <v>54</v>
      </c>
      <c r="C79" s="74" t="s">
        <v>296</v>
      </c>
      <c r="D79" s="75">
        <f>'дод 2'!E109</f>
        <v>3005800</v>
      </c>
      <c r="E79" s="75">
        <f>'дод 2'!F109</f>
        <v>3005800</v>
      </c>
      <c r="F79" s="75">
        <f>'дод 2'!G109</f>
        <v>0</v>
      </c>
      <c r="G79" s="75">
        <f>'дод 2'!H109</f>
        <v>0</v>
      </c>
      <c r="H79" s="75">
        <f>'дод 2'!I109</f>
        <v>0</v>
      </c>
      <c r="I79" s="75">
        <f>'дод 2'!J109</f>
        <v>2116407.48</v>
      </c>
      <c r="J79" s="75">
        <f>'дод 2'!K109</f>
        <v>0</v>
      </c>
      <c r="K79" s="75">
        <f>'дод 2'!L109</f>
        <v>0</v>
      </c>
      <c r="L79" s="168">
        <f t="shared" si="1"/>
        <v>70.410788475613813</v>
      </c>
      <c r="M79" s="75">
        <f>'дод 2'!N109</f>
        <v>0</v>
      </c>
      <c r="N79" s="75">
        <f>'дод 2'!O109</f>
        <v>0</v>
      </c>
      <c r="O79" s="75">
        <f>'дод 2'!P109</f>
        <v>0</v>
      </c>
      <c r="P79" s="75">
        <f>'дод 2'!Q109</f>
        <v>0</v>
      </c>
      <c r="Q79" s="75">
        <f>'дод 2'!R109</f>
        <v>0</v>
      </c>
      <c r="R79" s="75">
        <f>'дод 2'!S109</f>
        <v>0</v>
      </c>
      <c r="S79" s="75">
        <f>'дод 2'!T109</f>
        <v>0</v>
      </c>
      <c r="T79" s="75">
        <f>'дод 2'!U109</f>
        <v>0</v>
      </c>
      <c r="U79" s="75">
        <f>'дод 2'!V109</f>
        <v>0</v>
      </c>
      <c r="V79" s="75">
        <f>'дод 2'!W109</f>
        <v>0</v>
      </c>
      <c r="W79" s="75">
        <f>'дод 2'!X109</f>
        <v>0</v>
      </c>
      <c r="X79" s="75">
        <f>'дод 2'!Y109</f>
        <v>0</v>
      </c>
      <c r="Y79" s="168"/>
      <c r="Z79" s="75">
        <f>'дод 2'!AA109</f>
        <v>2116407.48</v>
      </c>
      <c r="AA79" s="75">
        <f>'дод 2'!AB109</f>
        <v>3005800</v>
      </c>
      <c r="AB79" s="221"/>
      <c r="AC79" s="214"/>
    </row>
    <row r="80" spans="1:29" ht="38.25" customHeight="1" x14ac:dyDescent="0.25">
      <c r="A80" s="73" t="s">
        <v>103</v>
      </c>
      <c r="B80" s="73" t="s">
        <v>243</v>
      </c>
      <c r="C80" s="74" t="s">
        <v>297</v>
      </c>
      <c r="D80" s="75">
        <f>'дод 2'!E110</f>
        <v>6034800</v>
      </c>
      <c r="E80" s="75">
        <f>'дод 2'!F110</f>
        <v>6034800</v>
      </c>
      <c r="F80" s="75">
        <f>'дод 2'!G110</f>
        <v>0</v>
      </c>
      <c r="G80" s="75">
        <f>'дод 2'!H110</f>
        <v>0</v>
      </c>
      <c r="H80" s="75">
        <f>'дод 2'!I110</f>
        <v>0</v>
      </c>
      <c r="I80" s="75">
        <f>'дод 2'!J110</f>
        <v>1679272.82</v>
      </c>
      <c r="J80" s="75">
        <f>'дод 2'!K110</f>
        <v>0</v>
      </c>
      <c r="K80" s="75">
        <f>'дод 2'!L110</f>
        <v>0</v>
      </c>
      <c r="L80" s="168">
        <f t="shared" si="1"/>
        <v>27.82648671041294</v>
      </c>
      <c r="M80" s="75">
        <f>'дод 2'!N110</f>
        <v>0</v>
      </c>
      <c r="N80" s="75">
        <f>'дод 2'!O110</f>
        <v>0</v>
      </c>
      <c r="O80" s="75">
        <f>'дод 2'!P110</f>
        <v>0</v>
      </c>
      <c r="P80" s="75">
        <f>'дод 2'!Q110</f>
        <v>0</v>
      </c>
      <c r="Q80" s="75">
        <f>'дод 2'!R110</f>
        <v>0</v>
      </c>
      <c r="R80" s="75">
        <f>'дод 2'!S110</f>
        <v>0</v>
      </c>
      <c r="S80" s="75">
        <f>'дод 2'!T110</f>
        <v>0</v>
      </c>
      <c r="T80" s="75">
        <f>'дод 2'!U110</f>
        <v>0</v>
      </c>
      <c r="U80" s="75">
        <f>'дод 2'!V110</f>
        <v>0</v>
      </c>
      <c r="V80" s="75">
        <f>'дод 2'!W110</f>
        <v>0</v>
      </c>
      <c r="W80" s="75">
        <f>'дод 2'!X110</f>
        <v>0</v>
      </c>
      <c r="X80" s="75">
        <f>'дод 2'!Y110</f>
        <v>0</v>
      </c>
      <c r="Y80" s="168"/>
      <c r="Z80" s="75">
        <f>'дод 2'!AA110</f>
        <v>1679272.82</v>
      </c>
      <c r="AA80" s="75">
        <f>'дод 2'!AB110</f>
        <v>6034800</v>
      </c>
      <c r="AB80" s="221"/>
      <c r="AC80" s="214"/>
    </row>
    <row r="81" spans="1:28" ht="26.25" customHeight="1" x14ac:dyDescent="0.25">
      <c r="A81" s="73" t="s">
        <v>223</v>
      </c>
      <c r="B81" s="73" t="s">
        <v>55</v>
      </c>
      <c r="C81" s="56" t="s">
        <v>329</v>
      </c>
      <c r="D81" s="75">
        <f>'дод 2'!E111</f>
        <v>4355200</v>
      </c>
      <c r="E81" s="75">
        <f>'дод 2'!F111</f>
        <v>4355200</v>
      </c>
      <c r="F81" s="75">
        <f>'дод 2'!G111</f>
        <v>3252200</v>
      </c>
      <c r="G81" s="75">
        <f>'дод 2'!H111</f>
        <v>170000</v>
      </c>
      <c r="H81" s="75">
        <f>'дод 2'!I111</f>
        <v>0</v>
      </c>
      <c r="I81" s="75">
        <f>'дод 2'!J111</f>
        <v>1046346.43</v>
      </c>
      <c r="J81" s="75">
        <f>'дод 2'!K111</f>
        <v>791681.59</v>
      </c>
      <c r="K81" s="75">
        <f>'дод 2'!L111</f>
        <v>55538.84</v>
      </c>
      <c r="L81" s="168">
        <f t="shared" si="1"/>
        <v>24.02522111498898</v>
      </c>
      <c r="M81" s="75">
        <f>'дод 2'!N111</f>
        <v>0</v>
      </c>
      <c r="N81" s="75">
        <f>'дод 2'!O111</f>
        <v>0</v>
      </c>
      <c r="O81" s="75">
        <f>'дод 2'!P111</f>
        <v>0</v>
      </c>
      <c r="P81" s="75">
        <f>'дод 2'!Q111</f>
        <v>0</v>
      </c>
      <c r="Q81" s="75">
        <f>'дод 2'!R111</f>
        <v>0</v>
      </c>
      <c r="R81" s="75">
        <f>'дод 2'!S111</f>
        <v>0</v>
      </c>
      <c r="S81" s="75">
        <f>'дод 2'!T111</f>
        <v>0</v>
      </c>
      <c r="T81" s="75">
        <f>'дод 2'!U111</f>
        <v>0</v>
      </c>
      <c r="U81" s="75">
        <f>'дод 2'!V111</f>
        <v>0</v>
      </c>
      <c r="V81" s="75">
        <f>'дод 2'!W111</f>
        <v>0</v>
      </c>
      <c r="W81" s="75">
        <f>'дод 2'!X111</f>
        <v>0</v>
      </c>
      <c r="X81" s="75">
        <f>'дод 2'!Y111</f>
        <v>0</v>
      </c>
      <c r="Y81" s="168"/>
      <c r="Z81" s="75">
        <f>'дод 2'!AA111</f>
        <v>1046346.43</v>
      </c>
      <c r="AA81" s="75">
        <f>'дод 2'!AB111</f>
        <v>4355200</v>
      </c>
      <c r="AB81" s="221"/>
    </row>
    <row r="82" spans="1:28" ht="21.75" customHeight="1" x14ac:dyDescent="0.25">
      <c r="A82" s="73" t="s">
        <v>224</v>
      </c>
      <c r="B82" s="73" t="s">
        <v>55</v>
      </c>
      <c r="C82" s="56" t="s">
        <v>330</v>
      </c>
      <c r="D82" s="75">
        <f>'дод 2'!E112</f>
        <v>33856700</v>
      </c>
      <c r="E82" s="75">
        <f>'дод 2'!F112</f>
        <v>33856700</v>
      </c>
      <c r="F82" s="75">
        <f>'дод 2'!G112</f>
        <v>0</v>
      </c>
      <c r="G82" s="75">
        <f>'дод 2'!H112</f>
        <v>0</v>
      </c>
      <c r="H82" s="75">
        <f>'дод 2'!I112</f>
        <v>0</v>
      </c>
      <c r="I82" s="75">
        <f>'дод 2'!J112</f>
        <v>4470979.55</v>
      </c>
      <c r="J82" s="75">
        <f>'дод 2'!K112</f>
        <v>0</v>
      </c>
      <c r="K82" s="75">
        <f>'дод 2'!L112</f>
        <v>0</v>
      </c>
      <c r="L82" s="168">
        <f t="shared" ref="L82:L143" si="17">I82/D82*100</f>
        <v>13.205597562668542</v>
      </c>
      <c r="M82" s="75">
        <f>'дод 2'!N112</f>
        <v>0</v>
      </c>
      <c r="N82" s="75">
        <f>'дод 2'!O112</f>
        <v>0</v>
      </c>
      <c r="O82" s="75">
        <f>'дод 2'!P112</f>
        <v>0</v>
      </c>
      <c r="P82" s="75">
        <f>'дод 2'!Q112</f>
        <v>0</v>
      </c>
      <c r="Q82" s="75">
        <f>'дод 2'!R112</f>
        <v>0</v>
      </c>
      <c r="R82" s="75">
        <f>'дод 2'!S112</f>
        <v>0</v>
      </c>
      <c r="S82" s="75">
        <f>'дод 2'!T112</f>
        <v>301127.71999999997</v>
      </c>
      <c r="T82" s="75">
        <f>'дод 2'!U112</f>
        <v>0</v>
      </c>
      <c r="U82" s="75">
        <f>'дод 2'!V112</f>
        <v>301127.71999999997</v>
      </c>
      <c r="V82" s="75">
        <f>'дод 2'!W112</f>
        <v>0</v>
      </c>
      <c r="W82" s="75">
        <f>'дод 2'!X112</f>
        <v>0</v>
      </c>
      <c r="X82" s="75">
        <f>'дод 2'!Y112</f>
        <v>0</v>
      </c>
      <c r="Y82" s="168"/>
      <c r="Z82" s="75">
        <f>'дод 2'!AA112</f>
        <v>4772107.2699999996</v>
      </c>
      <c r="AA82" s="75">
        <f>'дод 2'!AB112</f>
        <v>33856700</v>
      </c>
      <c r="AB82" s="221"/>
    </row>
    <row r="83" spans="1:28" ht="21.75" customHeight="1" x14ac:dyDescent="0.25">
      <c r="A83" s="73">
        <v>2170</v>
      </c>
      <c r="B83" s="73" t="s">
        <v>55</v>
      </c>
      <c r="C83" s="56" t="s">
        <v>470</v>
      </c>
      <c r="D83" s="75">
        <f>'дод 2'!E205+'дод 2'!E113</f>
        <v>0</v>
      </c>
      <c r="E83" s="75">
        <f>'дод 2'!F205+'дод 2'!F113</f>
        <v>0</v>
      </c>
      <c r="F83" s="75">
        <f>'дод 2'!G205+'дод 2'!G113</f>
        <v>0</v>
      </c>
      <c r="G83" s="75">
        <f>'дод 2'!H205+'дод 2'!H113</f>
        <v>0</v>
      </c>
      <c r="H83" s="75">
        <f>'дод 2'!I205+'дод 2'!I113</f>
        <v>0</v>
      </c>
      <c r="I83" s="75">
        <f>'дод 2'!J205+'дод 2'!J113</f>
        <v>0</v>
      </c>
      <c r="J83" s="75">
        <f>'дод 2'!K205+'дод 2'!K113</f>
        <v>0</v>
      </c>
      <c r="K83" s="75">
        <f>'дод 2'!L205+'дод 2'!L113</f>
        <v>0</v>
      </c>
      <c r="L83" s="168"/>
      <c r="M83" s="75">
        <f>'дод 2'!N205+'дод 2'!N113</f>
        <v>6045220</v>
      </c>
      <c r="N83" s="75">
        <f>'дод 2'!O205+'дод 2'!O113</f>
        <v>6045220</v>
      </c>
      <c r="O83" s="75">
        <f>'дод 2'!P205+'дод 2'!P113</f>
        <v>0</v>
      </c>
      <c r="P83" s="75">
        <f>'дод 2'!Q205+'дод 2'!Q113</f>
        <v>0</v>
      </c>
      <c r="Q83" s="75">
        <f>'дод 2'!R205+'дод 2'!R113</f>
        <v>0</v>
      </c>
      <c r="R83" s="75">
        <f>'дод 2'!S205+'дод 2'!S113</f>
        <v>6045220</v>
      </c>
      <c r="S83" s="75">
        <f>'дод 2'!T205+'дод 2'!T113</f>
        <v>0</v>
      </c>
      <c r="T83" s="75">
        <f>'дод 2'!U205+'дод 2'!U113</f>
        <v>0</v>
      </c>
      <c r="U83" s="75">
        <f>'дод 2'!V205+'дод 2'!V113</f>
        <v>0</v>
      </c>
      <c r="V83" s="75">
        <f>'дод 2'!W205+'дод 2'!W113</f>
        <v>0</v>
      </c>
      <c r="W83" s="75">
        <f>'дод 2'!X205+'дод 2'!X113</f>
        <v>0</v>
      </c>
      <c r="X83" s="75">
        <f>'дод 2'!Y205+'дод 2'!Y113</f>
        <v>0</v>
      </c>
      <c r="Y83" s="168">
        <f t="shared" ref="Y83:Y145" si="18">S83/M83*100</f>
        <v>0</v>
      </c>
      <c r="Z83" s="75">
        <f>'дод 2'!AA205+'дод 2'!AA113</f>
        <v>0</v>
      </c>
      <c r="AA83" s="75">
        <f>'дод 2'!AB205+'дод 2'!AB113</f>
        <v>6045220</v>
      </c>
      <c r="AB83" s="221"/>
    </row>
    <row r="84" spans="1:28" s="105" customFormat="1" ht="33" customHeight="1" x14ac:dyDescent="0.25">
      <c r="A84" s="76" t="s">
        <v>56</v>
      </c>
      <c r="B84" s="86"/>
      <c r="C84" s="87" t="s">
        <v>348</v>
      </c>
      <c r="D84" s="72">
        <f>D89+D90+D91+D92+D93+D98+D99+D100+D102+D103+D106+D110+D111+D114+D115+D116+D117+D104+D105+D94+D108+D96+D101+D112</f>
        <v>297196787</v>
      </c>
      <c r="E84" s="72">
        <f t="shared" ref="E84:AA84" si="19">E89+E90+E91+E92+E93+E98+E99+E100+E102+E103+E106+E110+E111+E114+E115+E116+E117+E104+E105+E94+E108+E96+E101+E112</f>
        <v>297196787</v>
      </c>
      <c r="F84" s="72">
        <f t="shared" si="19"/>
        <v>32448065</v>
      </c>
      <c r="G84" s="72">
        <f t="shared" si="19"/>
        <v>3061000</v>
      </c>
      <c r="H84" s="72">
        <f t="shared" si="19"/>
        <v>0</v>
      </c>
      <c r="I84" s="72">
        <f t="shared" si="19"/>
        <v>97191909.580000013</v>
      </c>
      <c r="J84" s="72">
        <f t="shared" si="19"/>
        <v>7600214.4399999995</v>
      </c>
      <c r="K84" s="72">
        <f t="shared" si="19"/>
        <v>904280.44000000006</v>
      </c>
      <c r="L84" s="167">
        <f t="shared" si="17"/>
        <v>32.702880324207548</v>
      </c>
      <c r="M84" s="72">
        <f t="shared" si="19"/>
        <v>185584</v>
      </c>
      <c r="N84" s="72">
        <f t="shared" si="19"/>
        <v>116984</v>
      </c>
      <c r="O84" s="72">
        <f t="shared" si="19"/>
        <v>68600</v>
      </c>
      <c r="P84" s="72">
        <f t="shared" si="19"/>
        <v>50000</v>
      </c>
      <c r="Q84" s="72">
        <f t="shared" si="19"/>
        <v>3810</v>
      </c>
      <c r="R84" s="72">
        <f t="shared" si="19"/>
        <v>116984</v>
      </c>
      <c r="S84" s="72">
        <f t="shared" si="19"/>
        <v>293043.83</v>
      </c>
      <c r="T84" s="72">
        <f t="shared" si="19"/>
        <v>0</v>
      </c>
      <c r="U84" s="72">
        <f t="shared" si="19"/>
        <v>293043.83</v>
      </c>
      <c r="V84" s="72">
        <f t="shared" si="19"/>
        <v>44364.88</v>
      </c>
      <c r="W84" s="72">
        <f t="shared" si="19"/>
        <v>0</v>
      </c>
      <c r="X84" s="72">
        <f t="shared" si="19"/>
        <v>0</v>
      </c>
      <c r="Y84" s="167" t="s">
        <v>519</v>
      </c>
      <c r="Z84" s="72">
        <f t="shared" si="19"/>
        <v>97484953.410000011</v>
      </c>
      <c r="AA84" s="72">
        <f t="shared" si="19"/>
        <v>297382371</v>
      </c>
      <c r="AB84" s="221"/>
    </row>
    <row r="85" spans="1:28" s="105" customFormat="1" ht="33" customHeight="1" x14ac:dyDescent="0.25">
      <c r="A85" s="76"/>
      <c r="B85" s="86"/>
      <c r="C85" s="88" t="s">
        <v>284</v>
      </c>
      <c r="D85" s="78">
        <f>D95+D97+D109+D118</f>
        <v>1422057</v>
      </c>
      <c r="E85" s="78">
        <f t="shared" ref="E85:AA85" si="20">E95+E97+E109+E118</f>
        <v>1422057</v>
      </c>
      <c r="F85" s="78">
        <f t="shared" si="20"/>
        <v>0</v>
      </c>
      <c r="G85" s="78">
        <f t="shared" si="20"/>
        <v>0</v>
      </c>
      <c r="H85" s="78">
        <f t="shared" si="20"/>
        <v>0</v>
      </c>
      <c r="I85" s="78">
        <f t="shared" si="20"/>
        <v>280225.77</v>
      </c>
      <c r="J85" s="78">
        <f t="shared" si="20"/>
        <v>0</v>
      </c>
      <c r="K85" s="78">
        <f t="shared" si="20"/>
        <v>0</v>
      </c>
      <c r="L85" s="169">
        <f t="shared" si="17"/>
        <v>19.705663697024804</v>
      </c>
      <c r="M85" s="78">
        <f t="shared" si="20"/>
        <v>0</v>
      </c>
      <c r="N85" s="78">
        <f t="shared" si="20"/>
        <v>0</v>
      </c>
      <c r="O85" s="78">
        <f t="shared" si="20"/>
        <v>0</v>
      </c>
      <c r="P85" s="78">
        <f t="shared" si="20"/>
        <v>0</v>
      </c>
      <c r="Q85" s="78">
        <f t="shared" si="20"/>
        <v>0</v>
      </c>
      <c r="R85" s="78">
        <f t="shared" si="20"/>
        <v>0</v>
      </c>
      <c r="S85" s="78">
        <f t="shared" si="20"/>
        <v>0</v>
      </c>
      <c r="T85" s="78">
        <f t="shared" si="20"/>
        <v>0</v>
      </c>
      <c r="U85" s="78">
        <f t="shared" si="20"/>
        <v>0</v>
      </c>
      <c r="V85" s="78">
        <f t="shared" si="20"/>
        <v>0</v>
      </c>
      <c r="W85" s="78">
        <f t="shared" si="20"/>
        <v>0</v>
      </c>
      <c r="X85" s="78">
        <f t="shared" si="20"/>
        <v>0</v>
      </c>
      <c r="Y85" s="169"/>
      <c r="Z85" s="78">
        <f t="shared" si="20"/>
        <v>280225.77</v>
      </c>
      <c r="AA85" s="78">
        <f t="shared" si="20"/>
        <v>1422057</v>
      </c>
      <c r="AB85" s="221"/>
    </row>
    <row r="86" spans="1:28" s="105" customFormat="1" ht="72" customHeight="1" x14ac:dyDescent="0.25">
      <c r="A86" s="76"/>
      <c r="B86" s="86"/>
      <c r="C86" s="38" t="s">
        <v>393</v>
      </c>
      <c r="D86" s="78">
        <f t="shared" ref="D86" si="21">D119+D107</f>
        <v>71303000</v>
      </c>
      <c r="E86" s="78">
        <f t="shared" ref="E86:AA86" si="22">E119+E107</f>
        <v>71303000</v>
      </c>
      <c r="F86" s="78">
        <f t="shared" si="22"/>
        <v>0</v>
      </c>
      <c r="G86" s="78">
        <f t="shared" si="22"/>
        <v>0</v>
      </c>
      <c r="H86" s="78">
        <f t="shared" si="22"/>
        <v>0</v>
      </c>
      <c r="I86" s="78">
        <f t="shared" si="22"/>
        <v>27212871.260000002</v>
      </c>
      <c r="J86" s="78">
        <f t="shared" si="22"/>
        <v>0</v>
      </c>
      <c r="K86" s="78">
        <f t="shared" si="22"/>
        <v>0</v>
      </c>
      <c r="L86" s="169">
        <f t="shared" si="17"/>
        <v>38.165114034472602</v>
      </c>
      <c r="M86" s="78">
        <f t="shared" si="22"/>
        <v>0</v>
      </c>
      <c r="N86" s="78">
        <f t="shared" si="22"/>
        <v>0</v>
      </c>
      <c r="O86" s="78">
        <f t="shared" si="22"/>
        <v>0</v>
      </c>
      <c r="P86" s="78">
        <f t="shared" si="22"/>
        <v>0</v>
      </c>
      <c r="Q86" s="78">
        <f t="shared" si="22"/>
        <v>0</v>
      </c>
      <c r="R86" s="78">
        <f t="shared" si="22"/>
        <v>0</v>
      </c>
      <c r="S86" s="78">
        <f t="shared" si="22"/>
        <v>0</v>
      </c>
      <c r="T86" s="78">
        <f t="shared" si="22"/>
        <v>0</v>
      </c>
      <c r="U86" s="78">
        <f t="shared" si="22"/>
        <v>0</v>
      </c>
      <c r="V86" s="78">
        <f t="shared" si="22"/>
        <v>0</v>
      </c>
      <c r="W86" s="78">
        <f t="shared" si="22"/>
        <v>0</v>
      </c>
      <c r="X86" s="78">
        <f t="shared" si="22"/>
        <v>0</v>
      </c>
      <c r="Y86" s="169"/>
      <c r="Z86" s="78">
        <f t="shared" si="22"/>
        <v>27212871.260000002</v>
      </c>
      <c r="AA86" s="78">
        <f t="shared" si="22"/>
        <v>71303000</v>
      </c>
      <c r="AB86" s="221"/>
    </row>
    <row r="87" spans="1:28" s="105" customFormat="1" ht="101.25" customHeight="1" x14ac:dyDescent="0.25">
      <c r="A87" s="76"/>
      <c r="B87" s="86"/>
      <c r="C87" s="38" t="str">
        <f>C120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87" s="78">
        <f>D120</f>
        <v>2868232.83</v>
      </c>
      <c r="E87" s="78">
        <f t="shared" ref="E87:AA87" si="23">E120</f>
        <v>2868232.83</v>
      </c>
      <c r="F87" s="78">
        <f t="shared" si="23"/>
        <v>0</v>
      </c>
      <c r="G87" s="78">
        <f t="shared" si="23"/>
        <v>0</v>
      </c>
      <c r="H87" s="78">
        <f t="shared" si="23"/>
        <v>0</v>
      </c>
      <c r="I87" s="78">
        <f t="shared" si="23"/>
        <v>2868232.83</v>
      </c>
      <c r="J87" s="78">
        <f t="shared" si="23"/>
        <v>0</v>
      </c>
      <c r="K87" s="78">
        <f t="shared" si="23"/>
        <v>0</v>
      </c>
      <c r="L87" s="169">
        <f t="shared" si="17"/>
        <v>100</v>
      </c>
      <c r="M87" s="78">
        <f t="shared" si="23"/>
        <v>0</v>
      </c>
      <c r="N87" s="78">
        <f t="shared" si="23"/>
        <v>0</v>
      </c>
      <c r="O87" s="78">
        <f t="shared" si="23"/>
        <v>0</v>
      </c>
      <c r="P87" s="78">
        <f t="shared" si="23"/>
        <v>0</v>
      </c>
      <c r="Q87" s="78">
        <f t="shared" si="23"/>
        <v>0</v>
      </c>
      <c r="R87" s="78">
        <f t="shared" si="23"/>
        <v>0</v>
      </c>
      <c r="S87" s="78">
        <f t="shared" si="23"/>
        <v>0</v>
      </c>
      <c r="T87" s="78">
        <f t="shared" si="23"/>
        <v>0</v>
      </c>
      <c r="U87" s="78">
        <f t="shared" si="23"/>
        <v>0</v>
      </c>
      <c r="V87" s="78">
        <f t="shared" si="23"/>
        <v>0</v>
      </c>
      <c r="W87" s="78">
        <f t="shared" si="23"/>
        <v>0</v>
      </c>
      <c r="X87" s="78">
        <f t="shared" si="23"/>
        <v>0</v>
      </c>
      <c r="Y87" s="169"/>
      <c r="Z87" s="78">
        <f t="shared" si="23"/>
        <v>2868232.83</v>
      </c>
      <c r="AA87" s="78">
        <f t="shared" si="23"/>
        <v>2868232.83</v>
      </c>
      <c r="AB87" s="221"/>
    </row>
    <row r="88" spans="1:28" s="105" customFormat="1" ht="77.099999999999994" customHeight="1" x14ac:dyDescent="0.25">
      <c r="A88" s="76"/>
      <c r="B88" s="86"/>
      <c r="C88" s="38" t="str">
        <f>C113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D88" s="78">
        <f>D113</f>
        <v>430007</v>
      </c>
      <c r="E88" s="78">
        <f t="shared" ref="E88:AA88" si="24">E113</f>
        <v>430007</v>
      </c>
      <c r="F88" s="78">
        <f t="shared" si="24"/>
        <v>352465</v>
      </c>
      <c r="G88" s="78">
        <f t="shared" si="24"/>
        <v>0</v>
      </c>
      <c r="H88" s="78">
        <f t="shared" si="24"/>
        <v>0</v>
      </c>
      <c r="I88" s="78">
        <f t="shared" si="24"/>
        <v>61365.46</v>
      </c>
      <c r="J88" s="78">
        <f t="shared" si="24"/>
        <v>50299.55</v>
      </c>
      <c r="K88" s="78">
        <f t="shared" si="24"/>
        <v>0</v>
      </c>
      <c r="L88" s="169">
        <f t="shared" si="17"/>
        <v>14.270804893873819</v>
      </c>
      <c r="M88" s="78">
        <f t="shared" si="24"/>
        <v>0</v>
      </c>
      <c r="N88" s="78">
        <f t="shared" si="24"/>
        <v>0</v>
      </c>
      <c r="O88" s="78">
        <f t="shared" si="24"/>
        <v>0</v>
      </c>
      <c r="P88" s="78">
        <f t="shared" si="24"/>
        <v>0</v>
      </c>
      <c r="Q88" s="78">
        <f t="shared" si="24"/>
        <v>0</v>
      </c>
      <c r="R88" s="78">
        <f t="shared" si="24"/>
        <v>0</v>
      </c>
      <c r="S88" s="78">
        <f t="shared" si="24"/>
        <v>0</v>
      </c>
      <c r="T88" s="78">
        <f t="shared" si="24"/>
        <v>0</v>
      </c>
      <c r="U88" s="78">
        <f t="shared" si="24"/>
        <v>0</v>
      </c>
      <c r="V88" s="78">
        <f t="shared" si="24"/>
        <v>0</v>
      </c>
      <c r="W88" s="78">
        <f t="shared" si="24"/>
        <v>0</v>
      </c>
      <c r="X88" s="78">
        <f t="shared" si="24"/>
        <v>0</v>
      </c>
      <c r="Y88" s="169"/>
      <c r="Z88" s="78">
        <f t="shared" si="24"/>
        <v>61365.46</v>
      </c>
      <c r="AA88" s="78">
        <f t="shared" si="24"/>
        <v>430007</v>
      </c>
      <c r="AB88" s="221"/>
    </row>
    <row r="89" spans="1:28" ht="38.25" customHeight="1" x14ac:dyDescent="0.25">
      <c r="A89" s="73" t="s">
        <v>85</v>
      </c>
      <c r="B89" s="73" t="s">
        <v>44</v>
      </c>
      <c r="C89" s="56" t="s">
        <v>104</v>
      </c>
      <c r="D89" s="75">
        <f>'дод 2'!E122</f>
        <v>438760</v>
      </c>
      <c r="E89" s="75">
        <f>'дод 2'!F122</f>
        <v>438760</v>
      </c>
      <c r="F89" s="75">
        <f>'дод 2'!G122</f>
        <v>0</v>
      </c>
      <c r="G89" s="75">
        <f>'дод 2'!H122</f>
        <v>0</v>
      </c>
      <c r="H89" s="75">
        <f>'дод 2'!I122</f>
        <v>0</v>
      </c>
      <c r="I89" s="75">
        <f>'дод 2'!J122</f>
        <v>5782.14</v>
      </c>
      <c r="J89" s="75">
        <f>'дод 2'!K122</f>
        <v>0</v>
      </c>
      <c r="K89" s="75">
        <f>'дод 2'!L122</f>
        <v>0</v>
      </c>
      <c r="L89" s="168">
        <f t="shared" si="17"/>
        <v>1.3178366305041482</v>
      </c>
      <c r="M89" s="75">
        <f>'дод 2'!N122</f>
        <v>0</v>
      </c>
      <c r="N89" s="75">
        <f>'дод 2'!O122</f>
        <v>0</v>
      </c>
      <c r="O89" s="75">
        <f>'дод 2'!P122</f>
        <v>0</v>
      </c>
      <c r="P89" s="75">
        <f>'дод 2'!Q122</f>
        <v>0</v>
      </c>
      <c r="Q89" s="75">
        <f>'дод 2'!R122</f>
        <v>0</v>
      </c>
      <c r="R89" s="75">
        <f>'дод 2'!S122</f>
        <v>0</v>
      </c>
      <c r="S89" s="75">
        <f>'дод 2'!T122</f>
        <v>0</v>
      </c>
      <c r="T89" s="75">
        <f>'дод 2'!U122</f>
        <v>0</v>
      </c>
      <c r="U89" s="75">
        <f>'дод 2'!V122</f>
        <v>0</v>
      </c>
      <c r="V89" s="75">
        <f>'дод 2'!W122</f>
        <v>0</v>
      </c>
      <c r="W89" s="75">
        <f>'дод 2'!X122</f>
        <v>0</v>
      </c>
      <c r="X89" s="75">
        <f>'дод 2'!Y122</f>
        <v>0</v>
      </c>
      <c r="Y89" s="168"/>
      <c r="Z89" s="75">
        <f>'дод 2'!AA122</f>
        <v>5782.14</v>
      </c>
      <c r="AA89" s="75">
        <f>'дод 2'!AB122</f>
        <v>438760</v>
      </c>
      <c r="AB89" s="221"/>
    </row>
    <row r="90" spans="1:28" ht="30" customHeight="1" x14ac:dyDescent="0.25">
      <c r="A90" s="73" t="s">
        <v>105</v>
      </c>
      <c r="B90" s="73" t="s">
        <v>45</v>
      </c>
      <c r="C90" s="56" t="s">
        <v>279</v>
      </c>
      <c r="D90" s="75">
        <f>'дод 2'!E123</f>
        <v>700000</v>
      </c>
      <c r="E90" s="75">
        <f>'дод 2'!F123</f>
        <v>700000</v>
      </c>
      <c r="F90" s="75">
        <f>'дод 2'!G123</f>
        <v>0</v>
      </c>
      <c r="G90" s="75">
        <f>'дод 2'!H123</f>
        <v>0</v>
      </c>
      <c r="H90" s="75">
        <f>'дод 2'!I123</f>
        <v>0</v>
      </c>
      <c r="I90" s="75">
        <f>'дод 2'!J123</f>
        <v>152762.92000000001</v>
      </c>
      <c r="J90" s="75">
        <f>'дод 2'!K123</f>
        <v>0</v>
      </c>
      <c r="K90" s="75">
        <f>'дод 2'!L123</f>
        <v>0</v>
      </c>
      <c r="L90" s="168">
        <f t="shared" si="17"/>
        <v>21.823274285714287</v>
      </c>
      <c r="M90" s="75">
        <f>'дод 2'!N123</f>
        <v>0</v>
      </c>
      <c r="N90" s="75">
        <f>'дод 2'!O123</f>
        <v>0</v>
      </c>
      <c r="O90" s="75">
        <f>'дод 2'!P123</f>
        <v>0</v>
      </c>
      <c r="P90" s="75">
        <f>'дод 2'!Q123</f>
        <v>0</v>
      </c>
      <c r="Q90" s="75">
        <f>'дод 2'!R123</f>
        <v>0</v>
      </c>
      <c r="R90" s="75">
        <f>'дод 2'!S123</f>
        <v>0</v>
      </c>
      <c r="S90" s="75">
        <f>'дод 2'!T123</f>
        <v>0</v>
      </c>
      <c r="T90" s="75">
        <f>'дод 2'!U123</f>
        <v>0</v>
      </c>
      <c r="U90" s="75">
        <f>'дод 2'!V123</f>
        <v>0</v>
      </c>
      <c r="V90" s="75">
        <f>'дод 2'!W123</f>
        <v>0</v>
      </c>
      <c r="W90" s="75">
        <f>'дод 2'!X123</f>
        <v>0</v>
      </c>
      <c r="X90" s="75">
        <f>'дод 2'!Y123</f>
        <v>0</v>
      </c>
      <c r="Y90" s="168"/>
      <c r="Z90" s="75">
        <f>'дод 2'!AA123</f>
        <v>152762.92000000001</v>
      </c>
      <c r="AA90" s="75">
        <f>'дод 2'!AB123</f>
        <v>700000</v>
      </c>
      <c r="AB90" s="221"/>
    </row>
    <row r="91" spans="1:28" ht="31.5" x14ac:dyDescent="0.25">
      <c r="A91" s="73" t="s">
        <v>86</v>
      </c>
      <c r="B91" s="73" t="s">
        <v>45</v>
      </c>
      <c r="C91" s="56" t="s">
        <v>375</v>
      </c>
      <c r="D91" s="75">
        <f>'дод 2'!E124+'дод 2'!E23</f>
        <v>21941000</v>
      </c>
      <c r="E91" s="75">
        <f>'дод 2'!F124+'дод 2'!F23</f>
        <v>21941000</v>
      </c>
      <c r="F91" s="75">
        <f>'дод 2'!G124+'дод 2'!G23</f>
        <v>0</v>
      </c>
      <c r="G91" s="75">
        <f>'дод 2'!H124+'дод 2'!H23</f>
        <v>0</v>
      </c>
      <c r="H91" s="75">
        <f>'дод 2'!I124+'дод 2'!I23</f>
        <v>0</v>
      </c>
      <c r="I91" s="75">
        <f>'дод 2'!J124+'дод 2'!J23</f>
        <v>4529514</v>
      </c>
      <c r="J91" s="75">
        <f>'дод 2'!K124+'дод 2'!K23</f>
        <v>0</v>
      </c>
      <c r="K91" s="75">
        <f>'дод 2'!L124+'дод 2'!L23</f>
        <v>0</v>
      </c>
      <c r="L91" s="168">
        <f t="shared" si="17"/>
        <v>20.64406362517661</v>
      </c>
      <c r="M91" s="75">
        <f>'дод 2'!N124+'дод 2'!N23</f>
        <v>0</v>
      </c>
      <c r="N91" s="75">
        <f>'дод 2'!O124+'дод 2'!O23</f>
        <v>0</v>
      </c>
      <c r="O91" s="75">
        <f>'дод 2'!P124+'дод 2'!P23</f>
        <v>0</v>
      </c>
      <c r="P91" s="75">
        <f>'дод 2'!Q124+'дод 2'!Q23</f>
        <v>0</v>
      </c>
      <c r="Q91" s="75">
        <f>'дод 2'!R124+'дод 2'!R23</f>
        <v>0</v>
      </c>
      <c r="R91" s="75">
        <f>'дод 2'!S124+'дод 2'!S23</f>
        <v>0</v>
      </c>
      <c r="S91" s="75">
        <f>'дод 2'!T124+'дод 2'!T23</f>
        <v>0</v>
      </c>
      <c r="T91" s="75">
        <f>'дод 2'!U124+'дод 2'!U23</f>
        <v>0</v>
      </c>
      <c r="U91" s="75">
        <f>'дод 2'!V124+'дод 2'!V23</f>
        <v>0</v>
      </c>
      <c r="V91" s="75">
        <f>'дод 2'!W124+'дод 2'!W23</f>
        <v>0</v>
      </c>
      <c r="W91" s="75">
        <f>'дод 2'!X124+'дод 2'!X23</f>
        <v>0</v>
      </c>
      <c r="X91" s="75">
        <f>'дод 2'!Y124+'дод 2'!Y23</f>
        <v>0</v>
      </c>
      <c r="Y91" s="168"/>
      <c r="Z91" s="75">
        <f>'дод 2'!AA124+'дод 2'!AA23</f>
        <v>4529514</v>
      </c>
      <c r="AA91" s="75">
        <f>'дод 2'!AB124+'дод 2'!AB23</f>
        <v>21941000</v>
      </c>
      <c r="AB91" s="221"/>
    </row>
    <row r="92" spans="1:28" ht="47.25" customHeight="1" x14ac:dyDescent="0.25">
      <c r="A92" s="73" t="s">
        <v>249</v>
      </c>
      <c r="B92" s="73" t="s">
        <v>45</v>
      </c>
      <c r="C92" s="56" t="s">
        <v>248</v>
      </c>
      <c r="D92" s="75">
        <f>'дод 2'!E125</f>
        <v>1000000</v>
      </c>
      <c r="E92" s="75">
        <f>'дод 2'!F125</f>
        <v>1000000</v>
      </c>
      <c r="F92" s="75">
        <f>'дод 2'!G125</f>
        <v>0</v>
      </c>
      <c r="G92" s="75">
        <f>'дод 2'!H125</f>
        <v>0</v>
      </c>
      <c r="H92" s="75">
        <f>'дод 2'!I125</f>
        <v>0</v>
      </c>
      <c r="I92" s="75">
        <f>'дод 2'!J125</f>
        <v>166666</v>
      </c>
      <c r="J92" s="75">
        <f>'дод 2'!K125</f>
        <v>0</v>
      </c>
      <c r="K92" s="75">
        <f>'дод 2'!L125</f>
        <v>0</v>
      </c>
      <c r="L92" s="168">
        <f t="shared" si="17"/>
        <v>16.666600000000003</v>
      </c>
      <c r="M92" s="75">
        <f>'дод 2'!N125</f>
        <v>0</v>
      </c>
      <c r="N92" s="75">
        <f>'дод 2'!O125</f>
        <v>0</v>
      </c>
      <c r="O92" s="75">
        <f>'дод 2'!P125</f>
        <v>0</v>
      </c>
      <c r="P92" s="75">
        <f>'дод 2'!Q125</f>
        <v>0</v>
      </c>
      <c r="Q92" s="75">
        <f>'дод 2'!R125</f>
        <v>0</v>
      </c>
      <c r="R92" s="75">
        <f>'дод 2'!S125</f>
        <v>0</v>
      </c>
      <c r="S92" s="75">
        <f>'дод 2'!T125</f>
        <v>0</v>
      </c>
      <c r="T92" s="75">
        <f>'дод 2'!U125</f>
        <v>0</v>
      </c>
      <c r="U92" s="75">
        <f>'дод 2'!V125</f>
        <v>0</v>
      </c>
      <c r="V92" s="75">
        <f>'дод 2'!W125</f>
        <v>0</v>
      </c>
      <c r="W92" s="75">
        <f>'дод 2'!X125</f>
        <v>0</v>
      </c>
      <c r="X92" s="75">
        <f>'дод 2'!Y125</f>
        <v>0</v>
      </c>
      <c r="Y92" s="168"/>
      <c r="Z92" s="75">
        <f>'дод 2'!AA125</f>
        <v>166666</v>
      </c>
      <c r="AA92" s="75">
        <f>'дод 2'!AB125</f>
        <v>1000000</v>
      </c>
      <c r="AB92" s="221"/>
    </row>
    <row r="93" spans="1:28" ht="36.75" customHeight="1" x14ac:dyDescent="0.25">
      <c r="A93" s="73" t="s">
        <v>106</v>
      </c>
      <c r="B93" s="73" t="s">
        <v>45</v>
      </c>
      <c r="C93" s="56" t="s">
        <v>17</v>
      </c>
      <c r="D93" s="75">
        <f>'дод 2'!E126+'дод 2'!E24</f>
        <v>44199300</v>
      </c>
      <c r="E93" s="75">
        <f>'дод 2'!F126+'дод 2'!F24</f>
        <v>44199300</v>
      </c>
      <c r="F93" s="75">
        <f>'дод 2'!G126+'дод 2'!G24</f>
        <v>0</v>
      </c>
      <c r="G93" s="75">
        <f>'дод 2'!H126+'дод 2'!H24</f>
        <v>0</v>
      </c>
      <c r="H93" s="75">
        <f>'дод 2'!I126+'дод 2'!I24</f>
        <v>0</v>
      </c>
      <c r="I93" s="75">
        <f>'дод 2'!J126+'дод 2'!J24</f>
        <v>9192112</v>
      </c>
      <c r="J93" s="75">
        <f>'дод 2'!K126+'дод 2'!K24</f>
        <v>0</v>
      </c>
      <c r="K93" s="75">
        <f>'дод 2'!L126+'дод 2'!L24</f>
        <v>0</v>
      </c>
      <c r="L93" s="168">
        <f t="shared" si="17"/>
        <v>20.796962847827906</v>
      </c>
      <c r="M93" s="75">
        <f>'дод 2'!N126+'дод 2'!N24</f>
        <v>0</v>
      </c>
      <c r="N93" s="75">
        <f>'дод 2'!O126+'дод 2'!O24</f>
        <v>0</v>
      </c>
      <c r="O93" s="75">
        <f>'дод 2'!P126+'дод 2'!P24</f>
        <v>0</v>
      </c>
      <c r="P93" s="75">
        <f>'дод 2'!Q126+'дод 2'!Q24</f>
        <v>0</v>
      </c>
      <c r="Q93" s="75">
        <f>'дод 2'!R126+'дод 2'!R24</f>
        <v>0</v>
      </c>
      <c r="R93" s="75">
        <f>'дод 2'!S126+'дод 2'!S24</f>
        <v>0</v>
      </c>
      <c r="S93" s="75">
        <f>'дод 2'!T126+'дод 2'!T24</f>
        <v>0</v>
      </c>
      <c r="T93" s="75">
        <f>'дод 2'!U126+'дод 2'!U24</f>
        <v>0</v>
      </c>
      <c r="U93" s="75">
        <f>'дод 2'!V126+'дод 2'!V24</f>
        <v>0</v>
      </c>
      <c r="V93" s="75">
        <f>'дод 2'!W126+'дод 2'!W24</f>
        <v>0</v>
      </c>
      <c r="W93" s="75">
        <f>'дод 2'!X126+'дод 2'!X24</f>
        <v>0</v>
      </c>
      <c r="X93" s="75">
        <f>'дод 2'!Y126+'дод 2'!Y24</f>
        <v>0</v>
      </c>
      <c r="Y93" s="168"/>
      <c r="Z93" s="75">
        <f>'дод 2'!AA126+'дод 2'!AA24</f>
        <v>9192112</v>
      </c>
      <c r="AA93" s="75">
        <f>'дод 2'!AB126+'дод 2'!AB24</f>
        <v>44199300</v>
      </c>
      <c r="AB93" s="221"/>
    </row>
    <row r="94" spans="1:28" ht="34.5" customHeight="1" x14ac:dyDescent="0.25">
      <c r="A94" s="73" t="s">
        <v>414</v>
      </c>
      <c r="B94" s="73" t="s">
        <v>45</v>
      </c>
      <c r="C94" s="56" t="s">
        <v>415</v>
      </c>
      <c r="D94" s="75">
        <f>'дод 2'!E127</f>
        <v>856600</v>
      </c>
      <c r="E94" s="75">
        <f>'дод 2'!F127</f>
        <v>856600</v>
      </c>
      <c r="F94" s="75">
        <f>'дод 2'!G127</f>
        <v>0</v>
      </c>
      <c r="G94" s="75">
        <f>'дод 2'!H127</f>
        <v>0</v>
      </c>
      <c r="H94" s="75">
        <f>'дод 2'!I127</f>
        <v>0</v>
      </c>
      <c r="I94" s="75">
        <f>'дод 2'!J127</f>
        <v>130303.81</v>
      </c>
      <c r="J94" s="75">
        <f>'дод 2'!K127</f>
        <v>0</v>
      </c>
      <c r="K94" s="75">
        <f>'дод 2'!L127</f>
        <v>0</v>
      </c>
      <c r="L94" s="168">
        <f t="shared" si="17"/>
        <v>15.211745272005603</v>
      </c>
      <c r="M94" s="75">
        <f>'дод 2'!N127</f>
        <v>0</v>
      </c>
      <c r="N94" s="75">
        <f>'дод 2'!O127</f>
        <v>0</v>
      </c>
      <c r="O94" s="75">
        <f>'дод 2'!P127</f>
        <v>0</v>
      </c>
      <c r="P94" s="75">
        <f>'дод 2'!Q127</f>
        <v>0</v>
      </c>
      <c r="Q94" s="75">
        <f>'дод 2'!R127</f>
        <v>0</v>
      </c>
      <c r="R94" s="75">
        <f>'дод 2'!S127</f>
        <v>0</v>
      </c>
      <c r="S94" s="75">
        <f>'дод 2'!T127</f>
        <v>0</v>
      </c>
      <c r="T94" s="75">
        <f>'дод 2'!U127</f>
        <v>0</v>
      </c>
      <c r="U94" s="75">
        <f>'дод 2'!V127</f>
        <v>0</v>
      </c>
      <c r="V94" s="75">
        <f>'дод 2'!W127</f>
        <v>0</v>
      </c>
      <c r="W94" s="75">
        <f>'дод 2'!X127</f>
        <v>0</v>
      </c>
      <c r="X94" s="75">
        <f>'дод 2'!Y127</f>
        <v>0</v>
      </c>
      <c r="Y94" s="168"/>
      <c r="Z94" s="75">
        <f>'дод 2'!AA127</f>
        <v>130303.81</v>
      </c>
      <c r="AA94" s="75">
        <f>'дод 2'!AB127</f>
        <v>856600</v>
      </c>
      <c r="AB94" s="221">
        <v>5</v>
      </c>
    </row>
    <row r="95" spans="1:28" s="106" customFormat="1" ht="21" customHeight="1" x14ac:dyDescent="0.25">
      <c r="A95" s="79"/>
      <c r="B95" s="79"/>
      <c r="C95" s="89" t="s">
        <v>284</v>
      </c>
      <c r="D95" s="80">
        <f>'дод 2'!E128</f>
        <v>856600</v>
      </c>
      <c r="E95" s="80">
        <f>'дод 2'!F128</f>
        <v>856600</v>
      </c>
      <c r="F95" s="80">
        <f>'дод 2'!G128</f>
        <v>0</v>
      </c>
      <c r="G95" s="80">
        <f>'дод 2'!H128</f>
        <v>0</v>
      </c>
      <c r="H95" s="80">
        <f>'дод 2'!I128</f>
        <v>0</v>
      </c>
      <c r="I95" s="80">
        <f>'дод 2'!J128</f>
        <v>130303.81</v>
      </c>
      <c r="J95" s="80">
        <f>'дод 2'!K128</f>
        <v>0</v>
      </c>
      <c r="K95" s="80">
        <f>'дод 2'!L128</f>
        <v>0</v>
      </c>
      <c r="L95" s="170">
        <f t="shared" si="17"/>
        <v>15.211745272005603</v>
      </c>
      <c r="M95" s="80">
        <f>'дод 2'!N128</f>
        <v>0</v>
      </c>
      <c r="N95" s="80">
        <f>'дод 2'!O128</f>
        <v>0</v>
      </c>
      <c r="O95" s="80">
        <f>'дод 2'!P128</f>
        <v>0</v>
      </c>
      <c r="P95" s="80">
        <f>'дод 2'!Q128</f>
        <v>0</v>
      </c>
      <c r="Q95" s="80">
        <f>'дод 2'!R128</f>
        <v>0</v>
      </c>
      <c r="R95" s="80">
        <f>'дод 2'!S128</f>
        <v>0</v>
      </c>
      <c r="S95" s="80">
        <f>'дод 2'!T128</f>
        <v>0</v>
      </c>
      <c r="T95" s="80">
        <f>'дод 2'!U128</f>
        <v>0</v>
      </c>
      <c r="U95" s="80">
        <f>'дод 2'!V128</f>
        <v>0</v>
      </c>
      <c r="V95" s="80">
        <f>'дод 2'!W128</f>
        <v>0</v>
      </c>
      <c r="W95" s="80">
        <f>'дод 2'!X128</f>
        <v>0</v>
      </c>
      <c r="X95" s="80">
        <f>'дод 2'!Y128</f>
        <v>0</v>
      </c>
      <c r="Y95" s="170"/>
      <c r="Z95" s="80">
        <f>'дод 2'!AA128</f>
        <v>130303.81</v>
      </c>
      <c r="AA95" s="80">
        <f>'дод 2'!AB128</f>
        <v>856600</v>
      </c>
      <c r="AB95" s="221"/>
    </row>
    <row r="96" spans="1:28" ht="34.5" customHeight="1" x14ac:dyDescent="0.25">
      <c r="A96" s="73" t="s">
        <v>416</v>
      </c>
      <c r="B96" s="73" t="s">
        <v>44</v>
      </c>
      <c r="C96" s="56" t="s">
        <v>417</v>
      </c>
      <c r="D96" s="75">
        <f>'дод 2'!E129</f>
        <v>124000</v>
      </c>
      <c r="E96" s="75">
        <f>'дод 2'!F129</f>
        <v>124000</v>
      </c>
      <c r="F96" s="75">
        <f>'дод 2'!G129</f>
        <v>0</v>
      </c>
      <c r="G96" s="75">
        <f>'дод 2'!H129</f>
        <v>0</v>
      </c>
      <c r="H96" s="75">
        <f>'дод 2'!I129</f>
        <v>0</v>
      </c>
      <c r="I96" s="75">
        <f>'дод 2'!J129</f>
        <v>9394.3700000000008</v>
      </c>
      <c r="J96" s="75">
        <f>'дод 2'!K129</f>
        <v>0</v>
      </c>
      <c r="K96" s="75">
        <f>'дод 2'!L129</f>
        <v>0</v>
      </c>
      <c r="L96" s="168">
        <f t="shared" si="17"/>
        <v>7.5761048387096785</v>
      </c>
      <c r="M96" s="75">
        <f>'дод 2'!N129</f>
        <v>0</v>
      </c>
      <c r="N96" s="75">
        <f>'дод 2'!O129</f>
        <v>0</v>
      </c>
      <c r="O96" s="75">
        <f>'дод 2'!P129</f>
        <v>0</v>
      </c>
      <c r="P96" s="75">
        <f>'дод 2'!Q129</f>
        <v>0</v>
      </c>
      <c r="Q96" s="75">
        <f>'дод 2'!R129</f>
        <v>0</v>
      </c>
      <c r="R96" s="75">
        <f>'дод 2'!S129</f>
        <v>0</v>
      </c>
      <c r="S96" s="75">
        <f>'дод 2'!T129</f>
        <v>0</v>
      </c>
      <c r="T96" s="75">
        <f>'дод 2'!U129</f>
        <v>0</v>
      </c>
      <c r="U96" s="75">
        <f>'дод 2'!V129</f>
        <v>0</v>
      </c>
      <c r="V96" s="75">
        <f>'дод 2'!W129</f>
        <v>0</v>
      </c>
      <c r="W96" s="75">
        <f>'дод 2'!X129</f>
        <v>0</v>
      </c>
      <c r="X96" s="75">
        <f>'дод 2'!Y129</f>
        <v>0</v>
      </c>
      <c r="Y96" s="168"/>
      <c r="Z96" s="75">
        <f>'дод 2'!AA129</f>
        <v>9394.3700000000008</v>
      </c>
      <c r="AA96" s="75">
        <f>'дод 2'!AB129</f>
        <v>124000</v>
      </c>
      <c r="AB96" s="221"/>
    </row>
    <row r="97" spans="1:28" s="106" customFormat="1" ht="21" customHeight="1" x14ac:dyDescent="0.25">
      <c r="A97" s="79"/>
      <c r="B97" s="79"/>
      <c r="C97" s="89" t="s">
        <v>284</v>
      </c>
      <c r="D97" s="80">
        <f>'дод 2'!E130</f>
        <v>124000</v>
      </c>
      <c r="E97" s="80">
        <f>'дод 2'!F130</f>
        <v>124000</v>
      </c>
      <c r="F97" s="80">
        <f>'дод 2'!G130</f>
        <v>0</v>
      </c>
      <c r="G97" s="80">
        <f>'дод 2'!H130</f>
        <v>0</v>
      </c>
      <c r="H97" s="80">
        <f>'дод 2'!I130</f>
        <v>0</v>
      </c>
      <c r="I97" s="80">
        <f>'дод 2'!J130</f>
        <v>9394.3700000000008</v>
      </c>
      <c r="J97" s="80">
        <f>'дод 2'!K130</f>
        <v>0</v>
      </c>
      <c r="K97" s="80">
        <f>'дод 2'!L130</f>
        <v>0</v>
      </c>
      <c r="L97" s="170">
        <f t="shared" si="17"/>
        <v>7.5761048387096785</v>
      </c>
      <c r="M97" s="80">
        <f>'дод 2'!N130</f>
        <v>0</v>
      </c>
      <c r="N97" s="80">
        <f>'дод 2'!O130</f>
        <v>0</v>
      </c>
      <c r="O97" s="80">
        <f>'дод 2'!P130</f>
        <v>0</v>
      </c>
      <c r="P97" s="80">
        <f>'дод 2'!Q130</f>
        <v>0</v>
      </c>
      <c r="Q97" s="80">
        <f>'дод 2'!R130</f>
        <v>0</v>
      </c>
      <c r="R97" s="80">
        <f>'дод 2'!S130</f>
        <v>0</v>
      </c>
      <c r="S97" s="80">
        <f>'дод 2'!T130</f>
        <v>0</v>
      </c>
      <c r="T97" s="80">
        <f>'дод 2'!U130</f>
        <v>0</v>
      </c>
      <c r="U97" s="80">
        <f>'дод 2'!V130</f>
        <v>0</v>
      </c>
      <c r="V97" s="80">
        <f>'дод 2'!W130</f>
        <v>0</v>
      </c>
      <c r="W97" s="80">
        <f>'дод 2'!X130</f>
        <v>0</v>
      </c>
      <c r="X97" s="80">
        <f>'дод 2'!Y130</f>
        <v>0</v>
      </c>
      <c r="Y97" s="170"/>
      <c r="Z97" s="80">
        <f>'дод 2'!AA130</f>
        <v>9394.3700000000008</v>
      </c>
      <c r="AA97" s="80">
        <f>'дод 2'!AB130</f>
        <v>124000</v>
      </c>
      <c r="AB97" s="221"/>
    </row>
    <row r="98" spans="1:28" ht="45.75" customHeight="1" x14ac:dyDescent="0.25">
      <c r="A98" s="73" t="s">
        <v>88</v>
      </c>
      <c r="B98" s="73" t="s">
        <v>42</v>
      </c>
      <c r="C98" s="56" t="s">
        <v>25</v>
      </c>
      <c r="D98" s="75">
        <f>'дод 2'!E131</f>
        <v>27074900</v>
      </c>
      <c r="E98" s="75">
        <f>'дод 2'!F131</f>
        <v>27074900</v>
      </c>
      <c r="F98" s="75">
        <f>'дод 2'!G131</f>
        <v>20066500</v>
      </c>
      <c r="G98" s="75">
        <f>'дод 2'!H131</f>
        <v>1317500</v>
      </c>
      <c r="H98" s="75">
        <f>'дод 2'!I131</f>
        <v>0</v>
      </c>
      <c r="I98" s="75">
        <f>'дод 2'!J131</f>
        <v>6450617.7400000002</v>
      </c>
      <c r="J98" s="75">
        <f>'дод 2'!K131</f>
        <v>4841704.3</v>
      </c>
      <c r="K98" s="75">
        <f>'дод 2'!L131</f>
        <v>401969.58</v>
      </c>
      <c r="L98" s="168">
        <f t="shared" si="17"/>
        <v>23.825084266239209</v>
      </c>
      <c r="M98" s="75">
        <f>'дод 2'!N131</f>
        <v>58600</v>
      </c>
      <c r="N98" s="75">
        <f>'дод 2'!O131</f>
        <v>0</v>
      </c>
      <c r="O98" s="75">
        <f>'дод 2'!P131</f>
        <v>58600</v>
      </c>
      <c r="P98" s="75">
        <f>'дод 2'!Q131</f>
        <v>48000</v>
      </c>
      <c r="Q98" s="75">
        <f>'дод 2'!R131</f>
        <v>0</v>
      </c>
      <c r="R98" s="75">
        <f>'дод 2'!S131</f>
        <v>0</v>
      </c>
      <c r="S98" s="75">
        <f>'дод 2'!T131</f>
        <v>75758.880000000005</v>
      </c>
      <c r="T98" s="75">
        <f>'дод 2'!U131</f>
        <v>0</v>
      </c>
      <c r="U98" s="75">
        <f>'дод 2'!V131</f>
        <v>75758.880000000005</v>
      </c>
      <c r="V98" s="75">
        <f>'дод 2'!W131</f>
        <v>3381.28</v>
      </c>
      <c r="W98" s="75">
        <f>'дод 2'!X131</f>
        <v>0</v>
      </c>
      <c r="X98" s="75">
        <f>'дод 2'!Y131</f>
        <v>0</v>
      </c>
      <c r="Y98" s="168" t="s">
        <v>521</v>
      </c>
      <c r="Z98" s="75">
        <f>'дод 2'!AA131</f>
        <v>6526376.6200000001</v>
      </c>
      <c r="AA98" s="75">
        <f>'дод 2'!AB131</f>
        <v>27133500</v>
      </c>
      <c r="AB98" s="221"/>
    </row>
    <row r="99" spans="1:28" ht="76.5" hidden="1" customHeight="1" x14ac:dyDescent="0.25">
      <c r="A99" s="73" t="s">
        <v>258</v>
      </c>
      <c r="B99" s="73" t="s">
        <v>87</v>
      </c>
      <c r="C99" s="43" t="s">
        <v>420</v>
      </c>
      <c r="D99" s="75">
        <f>SUM('дод 2'!E152)</f>
        <v>0</v>
      </c>
      <c r="E99" s="75">
        <f>SUM('дод 2'!F152)</f>
        <v>0</v>
      </c>
      <c r="F99" s="75">
        <f>SUM('дод 2'!G152)</f>
        <v>0</v>
      </c>
      <c r="G99" s="75">
        <f>SUM('дод 2'!H152)</f>
        <v>0</v>
      </c>
      <c r="H99" s="75">
        <f>SUM('дод 2'!I152)</f>
        <v>0</v>
      </c>
      <c r="I99" s="75">
        <f>SUM('дод 2'!J152)</f>
        <v>0</v>
      </c>
      <c r="J99" s="75">
        <f>SUM('дод 2'!K152)</f>
        <v>0</v>
      </c>
      <c r="K99" s="75">
        <f>SUM('дод 2'!L152)</f>
        <v>0</v>
      </c>
      <c r="L99" s="168" t="e">
        <f t="shared" si="17"/>
        <v>#DIV/0!</v>
      </c>
      <c r="M99" s="75">
        <f>SUM('дод 2'!N152)</f>
        <v>0</v>
      </c>
      <c r="N99" s="75">
        <f>SUM('дод 2'!O152)</f>
        <v>0</v>
      </c>
      <c r="O99" s="75">
        <f>SUM('дод 2'!P152)</f>
        <v>0</v>
      </c>
      <c r="P99" s="75">
        <f>SUM('дод 2'!Q152)</f>
        <v>0</v>
      </c>
      <c r="Q99" s="75">
        <f>SUM('дод 2'!R152)</f>
        <v>0</v>
      </c>
      <c r="R99" s="75">
        <f>SUM('дод 2'!S152)</f>
        <v>0</v>
      </c>
      <c r="S99" s="75">
        <f>SUM('дод 2'!T152)</f>
        <v>0</v>
      </c>
      <c r="T99" s="75">
        <f>SUM('дод 2'!U152)</f>
        <v>0</v>
      </c>
      <c r="U99" s="75">
        <f>SUM('дод 2'!V152)</f>
        <v>0</v>
      </c>
      <c r="V99" s="75">
        <f>SUM('дод 2'!W152)</f>
        <v>0</v>
      </c>
      <c r="W99" s="75">
        <f>SUM('дод 2'!X152)</f>
        <v>0</v>
      </c>
      <c r="X99" s="75">
        <f>SUM('дод 2'!Y152)</f>
        <v>0</v>
      </c>
      <c r="Y99" s="168" t="e">
        <f t="shared" si="18"/>
        <v>#DIV/0!</v>
      </c>
      <c r="Z99" s="75">
        <f>SUM('дод 2'!AA152)</f>
        <v>0</v>
      </c>
      <c r="AA99" s="75">
        <f>SUM('дод 2'!AB152)</f>
        <v>0</v>
      </c>
      <c r="AB99" s="221"/>
    </row>
    <row r="100" spans="1:28" s="106" customFormat="1" ht="31.35" customHeight="1" x14ac:dyDescent="0.25">
      <c r="A100" s="73" t="s">
        <v>89</v>
      </c>
      <c r="B100" s="73" t="s">
        <v>87</v>
      </c>
      <c r="C100" s="56" t="s">
        <v>26</v>
      </c>
      <c r="D100" s="75">
        <f>'дод 2'!E153</f>
        <v>141200</v>
      </c>
      <c r="E100" s="75">
        <f>'дод 2'!F153</f>
        <v>141200</v>
      </c>
      <c r="F100" s="75">
        <f>'дод 2'!G153</f>
        <v>0</v>
      </c>
      <c r="G100" s="75">
        <f>'дод 2'!H153</f>
        <v>0</v>
      </c>
      <c r="H100" s="75">
        <f>'дод 2'!I153</f>
        <v>0</v>
      </c>
      <c r="I100" s="75">
        <f>'дод 2'!J153</f>
        <v>0</v>
      </c>
      <c r="J100" s="75">
        <f>'дод 2'!K153</f>
        <v>0</v>
      </c>
      <c r="K100" s="75">
        <f>'дод 2'!L153</f>
        <v>0</v>
      </c>
      <c r="L100" s="168">
        <f t="shared" si="17"/>
        <v>0</v>
      </c>
      <c r="M100" s="75">
        <f>'дод 2'!N153</f>
        <v>0</v>
      </c>
      <c r="N100" s="75">
        <f>'дод 2'!O153</f>
        <v>0</v>
      </c>
      <c r="O100" s="75">
        <f>'дод 2'!P153</f>
        <v>0</v>
      </c>
      <c r="P100" s="75">
        <f>'дод 2'!Q153</f>
        <v>0</v>
      </c>
      <c r="Q100" s="75">
        <f>'дод 2'!R153</f>
        <v>0</v>
      </c>
      <c r="R100" s="75">
        <f>'дод 2'!S153</f>
        <v>0</v>
      </c>
      <c r="S100" s="75">
        <f>'дод 2'!T153</f>
        <v>162284.95000000001</v>
      </c>
      <c r="T100" s="75">
        <f>'дод 2'!U153</f>
        <v>0</v>
      </c>
      <c r="U100" s="75">
        <f>'дод 2'!V153</f>
        <v>162284.95000000001</v>
      </c>
      <c r="V100" s="75">
        <f>'дод 2'!W153</f>
        <v>0</v>
      </c>
      <c r="W100" s="75">
        <f>'дод 2'!X153</f>
        <v>0</v>
      </c>
      <c r="X100" s="75">
        <f>'дод 2'!Y153</f>
        <v>0</v>
      </c>
      <c r="Y100" s="168"/>
      <c r="Z100" s="75">
        <f>'дод 2'!AA153</f>
        <v>162284.95000000001</v>
      </c>
      <c r="AA100" s="75">
        <f>'дод 2'!AB153</f>
        <v>141200</v>
      </c>
      <c r="AB100" s="221"/>
    </row>
    <row r="101" spans="1:28" s="106" customFormat="1" ht="47.25" x14ac:dyDescent="0.25">
      <c r="A101" s="73">
        <v>3114</v>
      </c>
      <c r="B101" s="73">
        <v>1040</v>
      </c>
      <c r="C101" s="56" t="s">
        <v>439</v>
      </c>
      <c r="D101" s="75">
        <f>'дод 2'!E154</f>
        <v>151000</v>
      </c>
      <c r="E101" s="75">
        <f>'дод 2'!F154</f>
        <v>151000</v>
      </c>
      <c r="F101" s="75">
        <f>'дод 2'!G154</f>
        <v>0</v>
      </c>
      <c r="G101" s="75">
        <f>'дод 2'!H154</f>
        <v>0</v>
      </c>
      <c r="H101" s="75">
        <f>'дод 2'!I154</f>
        <v>0</v>
      </c>
      <c r="I101" s="75">
        <f>'дод 2'!J154</f>
        <v>0</v>
      </c>
      <c r="J101" s="75">
        <f>'дод 2'!K154</f>
        <v>0</v>
      </c>
      <c r="K101" s="75">
        <f>'дод 2'!L154</f>
        <v>0</v>
      </c>
      <c r="L101" s="168">
        <f t="shared" si="17"/>
        <v>0</v>
      </c>
      <c r="M101" s="75">
        <f>'дод 2'!N154</f>
        <v>0</v>
      </c>
      <c r="N101" s="75">
        <f>'дод 2'!O154</f>
        <v>0</v>
      </c>
      <c r="O101" s="75">
        <f>'дод 2'!P154</f>
        <v>0</v>
      </c>
      <c r="P101" s="75">
        <f>'дод 2'!Q154</f>
        <v>0</v>
      </c>
      <c r="Q101" s="75">
        <f>'дод 2'!R154</f>
        <v>0</v>
      </c>
      <c r="R101" s="75">
        <f>'дод 2'!S154</f>
        <v>0</v>
      </c>
      <c r="S101" s="75">
        <f>'дод 2'!T154</f>
        <v>0</v>
      </c>
      <c r="T101" s="75">
        <f>'дод 2'!U154</f>
        <v>0</v>
      </c>
      <c r="U101" s="75">
        <f>'дод 2'!V154</f>
        <v>0</v>
      </c>
      <c r="V101" s="75">
        <f>'дод 2'!W154</f>
        <v>0</v>
      </c>
      <c r="W101" s="75">
        <f>'дод 2'!X154</f>
        <v>0</v>
      </c>
      <c r="X101" s="75">
        <f>'дод 2'!Y154</f>
        <v>0</v>
      </c>
      <c r="Y101" s="168"/>
      <c r="Z101" s="75">
        <f>'дод 2'!AA154</f>
        <v>0</v>
      </c>
      <c r="AA101" s="75">
        <f>'дод 2'!AB154</f>
        <v>151000</v>
      </c>
      <c r="AB101" s="221"/>
    </row>
    <row r="102" spans="1:28" s="106" customFormat="1" ht="63.6" customHeight="1" x14ac:dyDescent="0.25">
      <c r="A102" s="73" t="s">
        <v>107</v>
      </c>
      <c r="B102" s="73" t="s">
        <v>87</v>
      </c>
      <c r="C102" s="90" t="s">
        <v>466</v>
      </c>
      <c r="D102" s="75">
        <f>'дод 2'!E132</f>
        <v>6159000</v>
      </c>
      <c r="E102" s="75">
        <f>'дод 2'!F132</f>
        <v>6159000</v>
      </c>
      <c r="F102" s="75">
        <f>'дод 2'!G132</f>
        <v>4356500</v>
      </c>
      <c r="G102" s="75">
        <f>'дод 2'!H132</f>
        <v>402100</v>
      </c>
      <c r="H102" s="75">
        <f>'дод 2'!I132</f>
        <v>0</v>
      </c>
      <c r="I102" s="75">
        <f>'дод 2'!J132</f>
        <v>1316316.42</v>
      </c>
      <c r="J102" s="75">
        <f>'дод 2'!K132</f>
        <v>978919.63</v>
      </c>
      <c r="K102" s="75">
        <f>'дод 2'!L132</f>
        <v>100178.82</v>
      </c>
      <c r="L102" s="168">
        <f t="shared" si="17"/>
        <v>21.37224257184608</v>
      </c>
      <c r="M102" s="75">
        <f>'дод 2'!N132</f>
        <v>0</v>
      </c>
      <c r="N102" s="75">
        <f>'дод 2'!O132</f>
        <v>0</v>
      </c>
      <c r="O102" s="75">
        <f>'дод 2'!P132</f>
        <v>0</v>
      </c>
      <c r="P102" s="75">
        <f>'дод 2'!Q132</f>
        <v>0</v>
      </c>
      <c r="Q102" s="75">
        <f>'дод 2'!R132</f>
        <v>0</v>
      </c>
      <c r="R102" s="75">
        <f>'дод 2'!S132</f>
        <v>0</v>
      </c>
      <c r="S102" s="75">
        <f>'дод 2'!T132</f>
        <v>0</v>
      </c>
      <c r="T102" s="75">
        <f>'дод 2'!U132</f>
        <v>0</v>
      </c>
      <c r="U102" s="75">
        <f>'дод 2'!V132</f>
        <v>0</v>
      </c>
      <c r="V102" s="75">
        <f>'дод 2'!W132</f>
        <v>0</v>
      </c>
      <c r="W102" s="75">
        <f>'дод 2'!X132</f>
        <v>0</v>
      </c>
      <c r="X102" s="75">
        <f>'дод 2'!Y132</f>
        <v>0</v>
      </c>
      <c r="Y102" s="168"/>
      <c r="Z102" s="75">
        <f>'дод 2'!AA132</f>
        <v>1316316.42</v>
      </c>
      <c r="AA102" s="75">
        <f>'дод 2'!AB132</f>
        <v>6159000</v>
      </c>
      <c r="AB102" s="221"/>
    </row>
    <row r="103" spans="1:28" s="106" customFormat="1" ht="44.85" customHeight="1" x14ac:dyDescent="0.25">
      <c r="A103" s="73" t="s">
        <v>92</v>
      </c>
      <c r="B103" s="73" t="s">
        <v>87</v>
      </c>
      <c r="C103" s="56" t="s">
        <v>265</v>
      </c>
      <c r="D103" s="75">
        <f>'дод 2'!E25</f>
        <v>410000</v>
      </c>
      <c r="E103" s="75">
        <f>'дод 2'!F25</f>
        <v>410000</v>
      </c>
      <c r="F103" s="75">
        <f>'дод 2'!G25</f>
        <v>0</v>
      </c>
      <c r="G103" s="75">
        <f>'дод 2'!H25</f>
        <v>0</v>
      </c>
      <c r="H103" s="75">
        <f>'дод 2'!I25</f>
        <v>0</v>
      </c>
      <c r="I103" s="75">
        <f>'дод 2'!J25</f>
        <v>4500</v>
      </c>
      <c r="J103" s="75">
        <f>'дод 2'!K25</f>
        <v>0</v>
      </c>
      <c r="K103" s="75">
        <f>'дод 2'!L25</f>
        <v>0</v>
      </c>
      <c r="L103" s="168">
        <f t="shared" si="17"/>
        <v>1.097560975609756</v>
      </c>
      <c r="M103" s="75">
        <f>'дод 2'!N25</f>
        <v>0</v>
      </c>
      <c r="N103" s="75">
        <f>'дод 2'!O25</f>
        <v>0</v>
      </c>
      <c r="O103" s="75">
        <f>'дод 2'!P25</f>
        <v>0</v>
      </c>
      <c r="P103" s="75">
        <f>'дод 2'!Q25</f>
        <v>0</v>
      </c>
      <c r="Q103" s="75">
        <f>'дод 2'!R25</f>
        <v>0</v>
      </c>
      <c r="R103" s="75">
        <f>'дод 2'!S25</f>
        <v>0</v>
      </c>
      <c r="S103" s="75">
        <f>'дод 2'!T25</f>
        <v>0</v>
      </c>
      <c r="T103" s="75">
        <f>'дод 2'!U25</f>
        <v>0</v>
      </c>
      <c r="U103" s="75">
        <f>'дод 2'!V25</f>
        <v>0</v>
      </c>
      <c r="V103" s="75">
        <f>'дод 2'!W25</f>
        <v>0</v>
      </c>
      <c r="W103" s="75">
        <f>'дод 2'!X25</f>
        <v>0</v>
      </c>
      <c r="X103" s="75">
        <f>'дод 2'!Y25</f>
        <v>0</v>
      </c>
      <c r="Y103" s="168"/>
      <c r="Z103" s="75">
        <f>'дод 2'!AA25</f>
        <v>4500</v>
      </c>
      <c r="AA103" s="75">
        <f>'дод 2'!AB25</f>
        <v>410000</v>
      </c>
      <c r="AB103" s="221"/>
    </row>
    <row r="104" spans="1:28" s="106" customFormat="1" ht="47.25" x14ac:dyDescent="0.25">
      <c r="A104" s="73">
        <v>3133</v>
      </c>
      <c r="B104" s="73">
        <v>1040</v>
      </c>
      <c r="C104" s="56" t="s">
        <v>421</v>
      </c>
      <c r="D104" s="75">
        <f>'дод 2'!E26</f>
        <v>5841416</v>
      </c>
      <c r="E104" s="75">
        <f>'дод 2'!F26</f>
        <v>5841416</v>
      </c>
      <c r="F104" s="75">
        <f>'дод 2'!G26</f>
        <v>3357400</v>
      </c>
      <c r="G104" s="75">
        <f>'дод 2'!H26</f>
        <v>778500</v>
      </c>
      <c r="H104" s="75">
        <f>'дод 2'!I26</f>
        <v>0</v>
      </c>
      <c r="I104" s="75">
        <f>'дод 2'!J26</f>
        <v>1362136.04</v>
      </c>
      <c r="J104" s="75">
        <f>'дод 2'!K26</f>
        <v>822722.89</v>
      </c>
      <c r="K104" s="75">
        <f>'дод 2'!L26</f>
        <v>261832.78</v>
      </c>
      <c r="L104" s="168">
        <f t="shared" si="17"/>
        <v>23.318593299980691</v>
      </c>
      <c r="M104" s="75">
        <f>'дод 2'!N26</f>
        <v>126984</v>
      </c>
      <c r="N104" s="75">
        <f>'дод 2'!O26</f>
        <v>116984</v>
      </c>
      <c r="O104" s="75">
        <f>'дод 2'!P26</f>
        <v>10000</v>
      </c>
      <c r="P104" s="75">
        <f>'дод 2'!Q26</f>
        <v>2000</v>
      </c>
      <c r="Q104" s="75">
        <f>'дод 2'!R26</f>
        <v>3810</v>
      </c>
      <c r="R104" s="75">
        <f>'дод 2'!S26</f>
        <v>116984</v>
      </c>
      <c r="S104" s="75">
        <f>'дод 2'!T26</f>
        <v>0</v>
      </c>
      <c r="T104" s="75">
        <f>'дод 2'!U26</f>
        <v>0</v>
      </c>
      <c r="U104" s="75">
        <f>'дод 2'!V26</f>
        <v>0</v>
      </c>
      <c r="V104" s="75">
        <f>'дод 2'!W26</f>
        <v>0</v>
      </c>
      <c r="W104" s="75">
        <f>'дод 2'!X26</f>
        <v>0</v>
      </c>
      <c r="X104" s="75">
        <f>'дод 2'!Y26</f>
        <v>0</v>
      </c>
      <c r="Y104" s="168">
        <f t="shared" si="18"/>
        <v>0</v>
      </c>
      <c r="Z104" s="75">
        <f>'дод 2'!AA26</f>
        <v>1362136.04</v>
      </c>
      <c r="AA104" s="75">
        <f>'дод 2'!AB26</f>
        <v>5968400</v>
      </c>
      <c r="AB104" s="221"/>
    </row>
    <row r="105" spans="1:28" s="107" customFormat="1" ht="48" customHeight="1" x14ac:dyDescent="0.25">
      <c r="A105" s="73">
        <v>3140</v>
      </c>
      <c r="B105" s="73">
        <v>1040</v>
      </c>
      <c r="C105" s="56" t="s">
        <v>377</v>
      </c>
      <c r="D105" s="75">
        <f>'дод 2'!E133</f>
        <v>2000000</v>
      </c>
      <c r="E105" s="75">
        <f>'дод 2'!F133</f>
        <v>2000000</v>
      </c>
      <c r="F105" s="75">
        <f>'дод 2'!G133</f>
        <v>0</v>
      </c>
      <c r="G105" s="75">
        <f>'дод 2'!H133</f>
        <v>0</v>
      </c>
      <c r="H105" s="75">
        <f>'дод 2'!I133</f>
        <v>0</v>
      </c>
      <c r="I105" s="75">
        <f>'дод 2'!J133</f>
        <v>0</v>
      </c>
      <c r="J105" s="75">
        <f>'дод 2'!K133</f>
        <v>0</v>
      </c>
      <c r="K105" s="75">
        <f>'дод 2'!L133</f>
        <v>0</v>
      </c>
      <c r="L105" s="168">
        <f t="shared" si="17"/>
        <v>0</v>
      </c>
      <c r="M105" s="75">
        <f>'дод 2'!N133</f>
        <v>0</v>
      </c>
      <c r="N105" s="75">
        <f>'дод 2'!O133</f>
        <v>0</v>
      </c>
      <c r="O105" s="75">
        <f>'дод 2'!P133</f>
        <v>0</v>
      </c>
      <c r="P105" s="75">
        <f>'дод 2'!Q133</f>
        <v>0</v>
      </c>
      <c r="Q105" s="75">
        <f>'дод 2'!R133</f>
        <v>0</v>
      </c>
      <c r="R105" s="75">
        <f>'дод 2'!S133</f>
        <v>0</v>
      </c>
      <c r="S105" s="75">
        <f>'дод 2'!T133</f>
        <v>0</v>
      </c>
      <c r="T105" s="75">
        <f>'дод 2'!U133</f>
        <v>0</v>
      </c>
      <c r="U105" s="75">
        <f>'дод 2'!V133</f>
        <v>0</v>
      </c>
      <c r="V105" s="75">
        <f>'дод 2'!W133</f>
        <v>0</v>
      </c>
      <c r="W105" s="75">
        <f>'дод 2'!X133</f>
        <v>0</v>
      </c>
      <c r="X105" s="75">
        <f>'дод 2'!Y133</f>
        <v>0</v>
      </c>
      <c r="Y105" s="168"/>
      <c r="Z105" s="75">
        <f>'дод 2'!AA133</f>
        <v>0</v>
      </c>
      <c r="AA105" s="75">
        <f>'дод 2'!AB133</f>
        <v>2000000</v>
      </c>
      <c r="AB105" s="221"/>
    </row>
    <row r="106" spans="1:28" ht="66" customHeight="1" x14ac:dyDescent="0.25">
      <c r="A106" s="73" t="s">
        <v>93</v>
      </c>
      <c r="B106" s="73">
        <v>1010</v>
      </c>
      <c r="C106" s="56" t="s">
        <v>372</v>
      </c>
      <c r="D106" s="75">
        <f>'дод 2'!E134</f>
        <v>22228000</v>
      </c>
      <c r="E106" s="75">
        <f>'дод 2'!F134</f>
        <v>22228000</v>
      </c>
      <c r="F106" s="75">
        <f>'дод 2'!G134</f>
        <v>0</v>
      </c>
      <c r="G106" s="75">
        <f>'дод 2'!H134</f>
        <v>0</v>
      </c>
      <c r="H106" s="75">
        <f>'дод 2'!I134</f>
        <v>0</v>
      </c>
      <c r="I106" s="75">
        <f>'дод 2'!J134</f>
        <v>4584681.32</v>
      </c>
      <c r="J106" s="75">
        <f>'дод 2'!K134</f>
        <v>0</v>
      </c>
      <c r="K106" s="75">
        <f>'дод 2'!L134</f>
        <v>0</v>
      </c>
      <c r="L106" s="168">
        <f t="shared" si="17"/>
        <v>20.625703257153141</v>
      </c>
      <c r="M106" s="75">
        <f>'дод 2'!N134</f>
        <v>0</v>
      </c>
      <c r="N106" s="75">
        <f>'дод 2'!O134</f>
        <v>0</v>
      </c>
      <c r="O106" s="75">
        <f>'дод 2'!P134</f>
        <v>0</v>
      </c>
      <c r="P106" s="75">
        <f>'дод 2'!Q134</f>
        <v>0</v>
      </c>
      <c r="Q106" s="75">
        <f>'дод 2'!R134</f>
        <v>0</v>
      </c>
      <c r="R106" s="75">
        <f>'дод 2'!S134</f>
        <v>0</v>
      </c>
      <c r="S106" s="75">
        <f>'дод 2'!T134</f>
        <v>0</v>
      </c>
      <c r="T106" s="75">
        <f>'дод 2'!U134</f>
        <v>0</v>
      </c>
      <c r="U106" s="75">
        <f>'дод 2'!V134</f>
        <v>0</v>
      </c>
      <c r="V106" s="75">
        <f>'дод 2'!W134</f>
        <v>0</v>
      </c>
      <c r="W106" s="75">
        <f>'дод 2'!X134</f>
        <v>0</v>
      </c>
      <c r="X106" s="75">
        <f>'дод 2'!Y134</f>
        <v>0</v>
      </c>
      <c r="Y106" s="168"/>
      <c r="Z106" s="75">
        <f>'дод 2'!AA134</f>
        <v>4584681.32</v>
      </c>
      <c r="AA106" s="75">
        <f>'дод 2'!AB134</f>
        <v>22228000</v>
      </c>
      <c r="AB106" s="221"/>
    </row>
    <row r="107" spans="1:28" ht="75" customHeight="1" x14ac:dyDescent="0.25">
      <c r="A107" s="73"/>
      <c r="B107" s="73"/>
      <c r="C107" s="55" t="s">
        <v>393</v>
      </c>
      <c r="D107" s="75">
        <f>'дод 2'!E135</f>
        <v>20000000</v>
      </c>
      <c r="E107" s="75">
        <f>'дод 2'!F135</f>
        <v>20000000</v>
      </c>
      <c r="F107" s="75">
        <f>'дод 2'!G135</f>
        <v>0</v>
      </c>
      <c r="G107" s="75">
        <f>'дод 2'!H135</f>
        <v>0</v>
      </c>
      <c r="H107" s="75">
        <f>'дод 2'!I135</f>
        <v>0</v>
      </c>
      <c r="I107" s="75">
        <f>'дод 2'!J135</f>
        <v>4582440.41</v>
      </c>
      <c r="J107" s="75">
        <f>'дод 2'!K135</f>
        <v>0</v>
      </c>
      <c r="K107" s="75">
        <f>'дод 2'!L135</f>
        <v>0</v>
      </c>
      <c r="L107" s="168">
        <f t="shared" si="17"/>
        <v>22.912202050000001</v>
      </c>
      <c r="M107" s="75">
        <f>'дод 2'!N135</f>
        <v>0</v>
      </c>
      <c r="N107" s="75">
        <f>'дод 2'!O135</f>
        <v>0</v>
      </c>
      <c r="O107" s="75">
        <f>'дод 2'!P135</f>
        <v>0</v>
      </c>
      <c r="P107" s="75">
        <f>'дод 2'!Q135</f>
        <v>0</v>
      </c>
      <c r="Q107" s="75">
        <f>'дод 2'!R135</f>
        <v>0</v>
      </c>
      <c r="R107" s="75">
        <f>'дод 2'!S135</f>
        <v>0</v>
      </c>
      <c r="S107" s="75">
        <f>'дод 2'!T135</f>
        <v>0</v>
      </c>
      <c r="T107" s="75">
        <f>'дод 2'!U135</f>
        <v>0</v>
      </c>
      <c r="U107" s="75">
        <f>'дод 2'!V135</f>
        <v>0</v>
      </c>
      <c r="V107" s="75">
        <f>'дод 2'!W135</f>
        <v>0</v>
      </c>
      <c r="W107" s="75">
        <f>'дод 2'!X135</f>
        <v>0</v>
      </c>
      <c r="X107" s="75">
        <f>'дод 2'!Y135</f>
        <v>0</v>
      </c>
      <c r="Y107" s="168"/>
      <c r="Z107" s="75">
        <f>'дод 2'!AA135</f>
        <v>4582440.41</v>
      </c>
      <c r="AA107" s="75">
        <f>'дод 2'!AB135</f>
        <v>20000000</v>
      </c>
      <c r="AB107" s="221"/>
    </row>
    <row r="108" spans="1:28" ht="51.75" customHeight="1" x14ac:dyDescent="0.25">
      <c r="A108" s="73" t="s">
        <v>418</v>
      </c>
      <c r="B108" s="73">
        <v>1010</v>
      </c>
      <c r="C108" s="56" t="s">
        <v>419</v>
      </c>
      <c r="D108" s="75">
        <f>'дод 2'!E136</f>
        <v>203057</v>
      </c>
      <c r="E108" s="75">
        <f>'дод 2'!F136</f>
        <v>203057</v>
      </c>
      <c r="F108" s="75">
        <f>'дод 2'!G136</f>
        <v>0</v>
      </c>
      <c r="G108" s="75">
        <f>'дод 2'!H136</f>
        <v>0</v>
      </c>
      <c r="H108" s="75">
        <f>'дод 2'!I136</f>
        <v>0</v>
      </c>
      <c r="I108" s="75">
        <f>'дод 2'!J136</f>
        <v>90127.59</v>
      </c>
      <c r="J108" s="75">
        <f>'дод 2'!K136</f>
        <v>0</v>
      </c>
      <c r="K108" s="75">
        <f>'дод 2'!L136</f>
        <v>0</v>
      </c>
      <c r="L108" s="168">
        <f t="shared" si="17"/>
        <v>44.38536470055206</v>
      </c>
      <c r="M108" s="75">
        <f>'дод 2'!N136</f>
        <v>0</v>
      </c>
      <c r="N108" s="75">
        <f>'дод 2'!O136</f>
        <v>0</v>
      </c>
      <c r="O108" s="75">
        <f>'дод 2'!P136</f>
        <v>0</v>
      </c>
      <c r="P108" s="75">
        <f>'дод 2'!Q136</f>
        <v>0</v>
      </c>
      <c r="Q108" s="75">
        <f>'дод 2'!R136</f>
        <v>0</v>
      </c>
      <c r="R108" s="75">
        <f>'дод 2'!S136</f>
        <v>0</v>
      </c>
      <c r="S108" s="75">
        <f>'дод 2'!T136</f>
        <v>0</v>
      </c>
      <c r="T108" s="75">
        <f>'дод 2'!U136</f>
        <v>0</v>
      </c>
      <c r="U108" s="75">
        <f>'дод 2'!V136</f>
        <v>0</v>
      </c>
      <c r="V108" s="75">
        <f>'дод 2'!W136</f>
        <v>0</v>
      </c>
      <c r="W108" s="75">
        <f>'дод 2'!X136</f>
        <v>0</v>
      </c>
      <c r="X108" s="75">
        <f>'дод 2'!Y136</f>
        <v>0</v>
      </c>
      <c r="Y108" s="168"/>
      <c r="Z108" s="75">
        <f>'дод 2'!AA136</f>
        <v>90127.59</v>
      </c>
      <c r="AA108" s="75">
        <f>'дод 2'!AB136</f>
        <v>203057</v>
      </c>
      <c r="AB108" s="221"/>
    </row>
    <row r="109" spans="1:28" s="106" customFormat="1" ht="18.75" customHeight="1" x14ac:dyDescent="0.25">
      <c r="A109" s="79"/>
      <c r="B109" s="79"/>
      <c r="C109" s="89" t="s">
        <v>284</v>
      </c>
      <c r="D109" s="80">
        <f>'дод 2'!E137</f>
        <v>203057</v>
      </c>
      <c r="E109" s="80">
        <f>'дод 2'!F137</f>
        <v>203057</v>
      </c>
      <c r="F109" s="80">
        <f>'дод 2'!G137</f>
        <v>0</v>
      </c>
      <c r="G109" s="80">
        <f>'дод 2'!H137</f>
        <v>0</v>
      </c>
      <c r="H109" s="80">
        <f>'дод 2'!I137</f>
        <v>0</v>
      </c>
      <c r="I109" s="80">
        <f>'дод 2'!J137</f>
        <v>90127.59</v>
      </c>
      <c r="J109" s="80">
        <f>'дод 2'!K137</f>
        <v>0</v>
      </c>
      <c r="K109" s="80">
        <f>'дод 2'!L137</f>
        <v>0</v>
      </c>
      <c r="L109" s="170">
        <f t="shared" si="17"/>
        <v>44.38536470055206</v>
      </c>
      <c r="M109" s="80">
        <f>'дод 2'!N137</f>
        <v>0</v>
      </c>
      <c r="N109" s="80">
        <f>'дод 2'!O137</f>
        <v>0</v>
      </c>
      <c r="O109" s="80">
        <f>'дод 2'!P137</f>
        <v>0</v>
      </c>
      <c r="P109" s="80">
        <f>'дод 2'!Q137</f>
        <v>0</v>
      </c>
      <c r="Q109" s="80">
        <f>'дод 2'!R137</f>
        <v>0</v>
      </c>
      <c r="R109" s="80">
        <f>'дод 2'!S137</f>
        <v>0</v>
      </c>
      <c r="S109" s="80">
        <f>'дод 2'!T137</f>
        <v>0</v>
      </c>
      <c r="T109" s="80">
        <f>'дод 2'!U137</f>
        <v>0</v>
      </c>
      <c r="U109" s="80">
        <f>'дод 2'!V137</f>
        <v>0</v>
      </c>
      <c r="V109" s="80">
        <f>'дод 2'!W137</f>
        <v>0</v>
      </c>
      <c r="W109" s="80">
        <f>'дод 2'!X137</f>
        <v>0</v>
      </c>
      <c r="X109" s="80">
        <f>'дод 2'!Y137</f>
        <v>0</v>
      </c>
      <c r="Y109" s="170"/>
      <c r="Z109" s="80">
        <f>'дод 2'!AA137</f>
        <v>90127.59</v>
      </c>
      <c r="AA109" s="80">
        <f>'дод 2'!AB137</f>
        <v>203057</v>
      </c>
      <c r="AB109" s="221"/>
    </row>
    <row r="110" spans="1:28" s="106" customFormat="1" ht="26.25" customHeight="1" x14ac:dyDescent="0.25">
      <c r="A110" s="73" t="s">
        <v>225</v>
      </c>
      <c r="B110" s="73" t="s">
        <v>44</v>
      </c>
      <c r="C110" s="56" t="s">
        <v>16</v>
      </c>
      <c r="D110" s="75">
        <f>'дод 2'!E138</f>
        <v>28137700</v>
      </c>
      <c r="E110" s="75">
        <f>'дод 2'!F138</f>
        <v>28137700</v>
      </c>
      <c r="F110" s="75">
        <f>'дод 2'!G138</f>
        <v>0</v>
      </c>
      <c r="G110" s="75">
        <f>'дод 2'!H138</f>
        <v>0</v>
      </c>
      <c r="H110" s="75">
        <f>'дод 2'!I138</f>
        <v>0</v>
      </c>
      <c r="I110" s="75">
        <f>'дод 2'!J138</f>
        <v>7496987.9199999999</v>
      </c>
      <c r="J110" s="75">
        <f>'дод 2'!K138</f>
        <v>0</v>
      </c>
      <c r="K110" s="75">
        <f>'дод 2'!L138</f>
        <v>0</v>
      </c>
      <c r="L110" s="168">
        <f t="shared" si="17"/>
        <v>26.643925836155763</v>
      </c>
      <c r="M110" s="75">
        <f>'дод 2'!N138</f>
        <v>0</v>
      </c>
      <c r="N110" s="75">
        <f>'дод 2'!O138</f>
        <v>0</v>
      </c>
      <c r="O110" s="75">
        <f>'дод 2'!P138</f>
        <v>0</v>
      </c>
      <c r="P110" s="75">
        <f>'дод 2'!Q138</f>
        <v>0</v>
      </c>
      <c r="Q110" s="75">
        <f>'дод 2'!R138</f>
        <v>0</v>
      </c>
      <c r="R110" s="75">
        <f>'дод 2'!S138</f>
        <v>0</v>
      </c>
      <c r="S110" s="75">
        <f>'дод 2'!T138</f>
        <v>0</v>
      </c>
      <c r="T110" s="75">
        <f>'дод 2'!U138</f>
        <v>0</v>
      </c>
      <c r="U110" s="75">
        <f>'дод 2'!V138</f>
        <v>0</v>
      </c>
      <c r="V110" s="75">
        <f>'дод 2'!W138</f>
        <v>0</v>
      </c>
      <c r="W110" s="75">
        <f>'дод 2'!X138</f>
        <v>0</v>
      </c>
      <c r="X110" s="75">
        <f>'дод 2'!Y138</f>
        <v>0</v>
      </c>
      <c r="Y110" s="168"/>
      <c r="Z110" s="75">
        <f>'дод 2'!AA138</f>
        <v>7496987.9199999999</v>
      </c>
      <c r="AA110" s="75">
        <f>'дод 2'!AB138</f>
        <v>28137700</v>
      </c>
      <c r="AB110" s="221"/>
    </row>
    <row r="111" spans="1:28" s="106" customFormat="1" ht="40.5" customHeight="1" x14ac:dyDescent="0.25">
      <c r="A111" s="73" t="s">
        <v>226</v>
      </c>
      <c r="B111" s="73" t="s">
        <v>44</v>
      </c>
      <c r="C111" s="43" t="s">
        <v>315</v>
      </c>
      <c r="D111" s="75">
        <f>'дод 2'!E139</f>
        <v>2042540</v>
      </c>
      <c r="E111" s="75">
        <f>'дод 2'!F139</f>
        <v>2042540</v>
      </c>
      <c r="F111" s="75">
        <f>'дод 2'!G139</f>
        <v>0</v>
      </c>
      <c r="G111" s="75">
        <f>'дод 2'!H139</f>
        <v>0</v>
      </c>
      <c r="H111" s="75">
        <f>'дод 2'!I139</f>
        <v>0</v>
      </c>
      <c r="I111" s="75">
        <f>'дод 2'!J139</f>
        <v>324253.2</v>
      </c>
      <c r="J111" s="75">
        <f>'дод 2'!K139</f>
        <v>0</v>
      </c>
      <c r="K111" s="75">
        <f>'дод 2'!L139</f>
        <v>0</v>
      </c>
      <c r="L111" s="168">
        <f t="shared" si="17"/>
        <v>15.874998776033763</v>
      </c>
      <c r="M111" s="75">
        <f>'дод 2'!N139</f>
        <v>0</v>
      </c>
      <c r="N111" s="75">
        <f>'дод 2'!O139</f>
        <v>0</v>
      </c>
      <c r="O111" s="75">
        <f>'дод 2'!P139</f>
        <v>0</v>
      </c>
      <c r="P111" s="75">
        <f>'дод 2'!Q139</f>
        <v>0</v>
      </c>
      <c r="Q111" s="75">
        <f>'дод 2'!R139</f>
        <v>0</v>
      </c>
      <c r="R111" s="75">
        <f>'дод 2'!S139</f>
        <v>0</v>
      </c>
      <c r="S111" s="75">
        <f>'дод 2'!T139</f>
        <v>0</v>
      </c>
      <c r="T111" s="75">
        <f>'дод 2'!U139</f>
        <v>0</v>
      </c>
      <c r="U111" s="75">
        <f>'дод 2'!V139</f>
        <v>0</v>
      </c>
      <c r="V111" s="75">
        <f>'дод 2'!W139</f>
        <v>0</v>
      </c>
      <c r="W111" s="75">
        <f>'дод 2'!X139</f>
        <v>0</v>
      </c>
      <c r="X111" s="75">
        <f>'дод 2'!Y139</f>
        <v>0</v>
      </c>
      <c r="Y111" s="168"/>
      <c r="Z111" s="75">
        <f>'дод 2'!AA139</f>
        <v>324253.2</v>
      </c>
      <c r="AA111" s="75">
        <f>'дод 2'!AB139</f>
        <v>2042540</v>
      </c>
      <c r="AB111" s="221"/>
    </row>
    <row r="112" spans="1:28" s="106" customFormat="1" ht="61.5" customHeight="1" x14ac:dyDescent="0.25">
      <c r="A112" s="73">
        <v>3193</v>
      </c>
      <c r="B112" s="73">
        <v>1030</v>
      </c>
      <c r="C112" s="43" t="s">
        <v>472</v>
      </c>
      <c r="D112" s="75">
        <f>'дод 2'!E140</f>
        <v>430007</v>
      </c>
      <c r="E112" s="75">
        <f>'дод 2'!F140</f>
        <v>430007</v>
      </c>
      <c r="F112" s="75">
        <f>'дод 2'!G140</f>
        <v>352465</v>
      </c>
      <c r="G112" s="75">
        <f>'дод 2'!H140</f>
        <v>0</v>
      </c>
      <c r="H112" s="75">
        <f>'дод 2'!I140</f>
        <v>0</v>
      </c>
      <c r="I112" s="75">
        <f>'дод 2'!J140</f>
        <v>61365.46</v>
      </c>
      <c r="J112" s="75">
        <f>'дод 2'!K140</f>
        <v>50299.55</v>
      </c>
      <c r="K112" s="75">
        <f>'дод 2'!L140</f>
        <v>0</v>
      </c>
      <c r="L112" s="168">
        <f t="shared" si="17"/>
        <v>14.270804893873819</v>
      </c>
      <c r="M112" s="75">
        <f>'дод 2'!N140</f>
        <v>0</v>
      </c>
      <c r="N112" s="75">
        <f>'дод 2'!O140</f>
        <v>0</v>
      </c>
      <c r="O112" s="75">
        <f>'дод 2'!P140</f>
        <v>0</v>
      </c>
      <c r="P112" s="75">
        <f>'дод 2'!Q140</f>
        <v>0</v>
      </c>
      <c r="Q112" s="75">
        <f>'дод 2'!R140</f>
        <v>0</v>
      </c>
      <c r="R112" s="75">
        <f>'дод 2'!S140</f>
        <v>0</v>
      </c>
      <c r="S112" s="75">
        <f>'дод 2'!T140</f>
        <v>0</v>
      </c>
      <c r="T112" s="75">
        <f>'дод 2'!U140</f>
        <v>0</v>
      </c>
      <c r="U112" s="75">
        <f>'дод 2'!V140</f>
        <v>0</v>
      </c>
      <c r="V112" s="75">
        <f>'дод 2'!W140</f>
        <v>0</v>
      </c>
      <c r="W112" s="75">
        <f>'дод 2'!X140</f>
        <v>0</v>
      </c>
      <c r="X112" s="75">
        <f>'дод 2'!Y140</f>
        <v>0</v>
      </c>
      <c r="Y112" s="168"/>
      <c r="Z112" s="75">
        <f>'дод 2'!AA140</f>
        <v>61365.46</v>
      </c>
      <c r="AA112" s="75">
        <f>'дод 2'!AB140</f>
        <v>430007</v>
      </c>
      <c r="AB112" s="221"/>
    </row>
    <row r="113" spans="1:28" s="106" customFormat="1" ht="94.5" x14ac:dyDescent="0.25">
      <c r="A113" s="79"/>
      <c r="B113" s="79"/>
      <c r="C113" s="55" t="s">
        <v>473</v>
      </c>
      <c r="D113" s="80">
        <f>'дод 2'!E141</f>
        <v>430007</v>
      </c>
      <c r="E113" s="80">
        <f>'дод 2'!F141</f>
        <v>430007</v>
      </c>
      <c r="F113" s="80">
        <f>'дод 2'!G141</f>
        <v>352465</v>
      </c>
      <c r="G113" s="80">
        <f>'дод 2'!H141</f>
        <v>0</v>
      </c>
      <c r="H113" s="80">
        <f>'дод 2'!I141</f>
        <v>0</v>
      </c>
      <c r="I113" s="80">
        <f>'дод 2'!J141</f>
        <v>61365.46</v>
      </c>
      <c r="J113" s="80">
        <f>'дод 2'!K141</f>
        <v>50299.55</v>
      </c>
      <c r="K113" s="80">
        <f>'дод 2'!L141</f>
        <v>0</v>
      </c>
      <c r="L113" s="170">
        <f t="shared" si="17"/>
        <v>14.270804893873819</v>
      </c>
      <c r="M113" s="80">
        <f>'дод 2'!N141</f>
        <v>0</v>
      </c>
      <c r="N113" s="80">
        <f>'дод 2'!O141</f>
        <v>0</v>
      </c>
      <c r="O113" s="80">
        <f>'дод 2'!P141</f>
        <v>0</v>
      </c>
      <c r="P113" s="80">
        <f>'дод 2'!Q141</f>
        <v>0</v>
      </c>
      <c r="Q113" s="80">
        <f>'дод 2'!R141</f>
        <v>0</v>
      </c>
      <c r="R113" s="80">
        <f>'дод 2'!S141</f>
        <v>0</v>
      </c>
      <c r="S113" s="80">
        <f>'дод 2'!T141</f>
        <v>0</v>
      </c>
      <c r="T113" s="80">
        <f>'дод 2'!U141</f>
        <v>0</v>
      </c>
      <c r="U113" s="80">
        <f>'дод 2'!V141</f>
        <v>0</v>
      </c>
      <c r="V113" s="80">
        <f>'дод 2'!W141</f>
        <v>0</v>
      </c>
      <c r="W113" s="80">
        <f>'дод 2'!X141</f>
        <v>0</v>
      </c>
      <c r="X113" s="80">
        <f>'дод 2'!Y141</f>
        <v>0</v>
      </c>
      <c r="Y113" s="170"/>
      <c r="Z113" s="80">
        <f>'дод 2'!AA141</f>
        <v>61365.46</v>
      </c>
      <c r="AA113" s="80">
        <f>'дод 2'!AB141</f>
        <v>430007</v>
      </c>
      <c r="AB113" s="221"/>
    </row>
    <row r="114" spans="1:28" ht="36.75" customHeight="1" x14ac:dyDescent="0.25">
      <c r="A114" s="73" t="s">
        <v>90</v>
      </c>
      <c r="B114" s="73" t="s">
        <v>47</v>
      </c>
      <c r="C114" s="56" t="s">
        <v>266</v>
      </c>
      <c r="D114" s="75">
        <f>'дод 2'!E142</f>
        <v>107000</v>
      </c>
      <c r="E114" s="75">
        <f>'дод 2'!F142</f>
        <v>107000</v>
      </c>
      <c r="F114" s="75">
        <f>'дод 2'!G142</f>
        <v>0</v>
      </c>
      <c r="G114" s="75">
        <f>'дод 2'!H142</f>
        <v>0</v>
      </c>
      <c r="H114" s="75">
        <f>'дод 2'!I142</f>
        <v>0</v>
      </c>
      <c r="I114" s="75">
        <f>'дод 2'!J142</f>
        <v>18750</v>
      </c>
      <c r="J114" s="75">
        <f>'дод 2'!K142</f>
        <v>0</v>
      </c>
      <c r="K114" s="75">
        <f>'дод 2'!L142</f>
        <v>0</v>
      </c>
      <c r="L114" s="168">
        <f t="shared" si="17"/>
        <v>17.523364485981308</v>
      </c>
      <c r="M114" s="75">
        <f>'дод 2'!N142</f>
        <v>0</v>
      </c>
      <c r="N114" s="75">
        <f>'дод 2'!O142</f>
        <v>0</v>
      </c>
      <c r="O114" s="75">
        <f>'дод 2'!P142</f>
        <v>0</v>
      </c>
      <c r="P114" s="75">
        <f>'дод 2'!Q142</f>
        <v>0</v>
      </c>
      <c r="Q114" s="75">
        <f>'дод 2'!R142</f>
        <v>0</v>
      </c>
      <c r="R114" s="75">
        <f>'дод 2'!S142</f>
        <v>0</v>
      </c>
      <c r="S114" s="75">
        <f>'дод 2'!T142</f>
        <v>0</v>
      </c>
      <c r="T114" s="75">
        <f>'дод 2'!U142</f>
        <v>0</v>
      </c>
      <c r="U114" s="75">
        <f>'дод 2'!V142</f>
        <v>0</v>
      </c>
      <c r="V114" s="75">
        <f>'дод 2'!W142</f>
        <v>0</v>
      </c>
      <c r="W114" s="75">
        <f>'дод 2'!X142</f>
        <v>0</v>
      </c>
      <c r="X114" s="75">
        <f>'дод 2'!Y142</f>
        <v>0</v>
      </c>
      <c r="Y114" s="168"/>
      <c r="Z114" s="75">
        <f>'дод 2'!AA142</f>
        <v>18750</v>
      </c>
      <c r="AA114" s="75">
        <f>'дод 2'!AB142</f>
        <v>107000</v>
      </c>
      <c r="AB114" s="221"/>
    </row>
    <row r="115" spans="1:28" ht="20.25" customHeight="1" x14ac:dyDescent="0.25">
      <c r="A115" s="73" t="s">
        <v>227</v>
      </c>
      <c r="B115" s="73" t="s">
        <v>91</v>
      </c>
      <c r="C115" s="56" t="s">
        <v>31</v>
      </c>
      <c r="D115" s="75">
        <f>'дод 2'!E170</f>
        <v>100000</v>
      </c>
      <c r="E115" s="75">
        <f>'дод 2'!F170</f>
        <v>100000</v>
      </c>
      <c r="F115" s="75">
        <f>'дод 2'!G170</f>
        <v>0</v>
      </c>
      <c r="G115" s="75">
        <f>'дод 2'!H170</f>
        <v>0</v>
      </c>
      <c r="H115" s="75">
        <f>'дод 2'!I170</f>
        <v>0</v>
      </c>
      <c r="I115" s="75">
        <f>'дод 2'!J170</f>
        <v>0</v>
      </c>
      <c r="J115" s="75">
        <f>'дод 2'!K170</f>
        <v>0</v>
      </c>
      <c r="K115" s="75">
        <f>'дод 2'!L170</f>
        <v>0</v>
      </c>
      <c r="L115" s="168">
        <f t="shared" si="17"/>
        <v>0</v>
      </c>
      <c r="M115" s="75">
        <f>'дод 2'!N170</f>
        <v>0</v>
      </c>
      <c r="N115" s="75">
        <f>'дод 2'!O170</f>
        <v>0</v>
      </c>
      <c r="O115" s="75">
        <f>'дод 2'!P170</f>
        <v>0</v>
      </c>
      <c r="P115" s="75">
        <f>'дод 2'!Q170</f>
        <v>0</v>
      </c>
      <c r="Q115" s="75">
        <f>'дод 2'!R170</f>
        <v>0</v>
      </c>
      <c r="R115" s="75">
        <f>'дод 2'!S170</f>
        <v>0</v>
      </c>
      <c r="S115" s="75">
        <f>'дод 2'!T170</f>
        <v>50000</v>
      </c>
      <c r="T115" s="75">
        <f>'дод 2'!U170</f>
        <v>0</v>
      </c>
      <c r="U115" s="75">
        <f>'дод 2'!V170</f>
        <v>50000</v>
      </c>
      <c r="V115" s="75">
        <f>'дод 2'!W170</f>
        <v>40983.599999999999</v>
      </c>
      <c r="W115" s="75">
        <f>'дод 2'!X170</f>
        <v>0</v>
      </c>
      <c r="X115" s="75">
        <f>'дод 2'!Y170</f>
        <v>0</v>
      </c>
      <c r="Y115" s="168"/>
      <c r="Z115" s="75">
        <f>'дод 2'!AA170</f>
        <v>50000</v>
      </c>
      <c r="AA115" s="75">
        <f>'дод 2'!AB170</f>
        <v>100000</v>
      </c>
      <c r="AB115" s="221"/>
    </row>
    <row r="116" spans="1:28" s="106" customFormat="1" ht="41.1" customHeight="1" x14ac:dyDescent="0.25">
      <c r="A116" s="73" t="s">
        <v>228</v>
      </c>
      <c r="B116" s="73" t="s">
        <v>47</v>
      </c>
      <c r="C116" s="56" t="s">
        <v>467</v>
      </c>
      <c r="D116" s="75">
        <f>'дод 2'!E143</f>
        <v>7634300</v>
      </c>
      <c r="E116" s="75">
        <f>'дод 2'!F143</f>
        <v>7634300</v>
      </c>
      <c r="F116" s="75">
        <f>'дод 2'!G143</f>
        <v>4315200</v>
      </c>
      <c r="G116" s="75">
        <f>'дод 2'!H143</f>
        <v>562900</v>
      </c>
      <c r="H116" s="75">
        <f>'дод 2'!I143</f>
        <v>0</v>
      </c>
      <c r="I116" s="75">
        <f>'дод 2'!J143</f>
        <v>1507370.11</v>
      </c>
      <c r="J116" s="75">
        <f>'дод 2'!K143</f>
        <v>906568.07</v>
      </c>
      <c r="K116" s="75">
        <f>'дод 2'!L143</f>
        <v>140299.26</v>
      </c>
      <c r="L116" s="168">
        <f t="shared" si="17"/>
        <v>19.744706259905954</v>
      </c>
      <c r="M116" s="75">
        <f>'дод 2'!N143</f>
        <v>0</v>
      </c>
      <c r="N116" s="75">
        <f>'дод 2'!O143</f>
        <v>0</v>
      </c>
      <c r="O116" s="75">
        <f>'дод 2'!P143</f>
        <v>0</v>
      </c>
      <c r="P116" s="75">
        <f>'дод 2'!Q143</f>
        <v>0</v>
      </c>
      <c r="Q116" s="75">
        <f>'дод 2'!R143</f>
        <v>0</v>
      </c>
      <c r="R116" s="75">
        <f>'дод 2'!S143</f>
        <v>0</v>
      </c>
      <c r="S116" s="75">
        <f>'дод 2'!T143</f>
        <v>5000</v>
      </c>
      <c r="T116" s="75">
        <f>'дод 2'!U143</f>
        <v>0</v>
      </c>
      <c r="U116" s="75">
        <f>'дод 2'!V143</f>
        <v>5000</v>
      </c>
      <c r="V116" s="75">
        <f>'дод 2'!W143</f>
        <v>0</v>
      </c>
      <c r="W116" s="75">
        <f>'дод 2'!X143</f>
        <v>0</v>
      </c>
      <c r="X116" s="75">
        <f>'дод 2'!Y143</f>
        <v>0</v>
      </c>
      <c r="Y116" s="168"/>
      <c r="Z116" s="75">
        <f>'дод 2'!AA143</f>
        <v>1512370.11</v>
      </c>
      <c r="AA116" s="75">
        <f>'дод 2'!AB143</f>
        <v>7634300</v>
      </c>
      <c r="AB116" s="221"/>
    </row>
    <row r="117" spans="1:28" s="106" customFormat="1" ht="31.5" customHeight="1" x14ac:dyDescent="0.25">
      <c r="A117" s="73" t="s">
        <v>229</v>
      </c>
      <c r="B117" s="73" t="s">
        <v>47</v>
      </c>
      <c r="C117" s="56" t="s">
        <v>360</v>
      </c>
      <c r="D117" s="75">
        <f>'дод 2'!E27+'дод 2'!E99+'дод 2'!E144</f>
        <v>125277007</v>
      </c>
      <c r="E117" s="75">
        <f>'дод 2'!F27+'дод 2'!F99+'дод 2'!F144</f>
        <v>125277007</v>
      </c>
      <c r="F117" s="75">
        <f>'дод 2'!G27+'дод 2'!G99+'дод 2'!G144</f>
        <v>0</v>
      </c>
      <c r="G117" s="75">
        <f>'дод 2'!H27+'дод 2'!H99+'дод 2'!H144</f>
        <v>0</v>
      </c>
      <c r="H117" s="75">
        <f>'дод 2'!I27+'дод 2'!I99+'дод 2'!I144</f>
        <v>0</v>
      </c>
      <c r="I117" s="75">
        <f>'дод 2'!J27+'дод 2'!J99+'дод 2'!J144</f>
        <v>59788268.539999999</v>
      </c>
      <c r="J117" s="75">
        <f>'дод 2'!K27+'дод 2'!K99+'дод 2'!K144</f>
        <v>0</v>
      </c>
      <c r="K117" s="75">
        <f>'дод 2'!L27+'дод 2'!L99+'дод 2'!L144</f>
        <v>0</v>
      </c>
      <c r="L117" s="168">
        <f t="shared" si="17"/>
        <v>47.724853883203004</v>
      </c>
      <c r="M117" s="75">
        <f>'дод 2'!N27+'дод 2'!N99+'дод 2'!N144</f>
        <v>0</v>
      </c>
      <c r="N117" s="75">
        <f>'дод 2'!O27+'дод 2'!O99+'дод 2'!O144</f>
        <v>0</v>
      </c>
      <c r="O117" s="75">
        <f>'дод 2'!P27+'дод 2'!P99+'дод 2'!P144</f>
        <v>0</v>
      </c>
      <c r="P117" s="75">
        <f>'дод 2'!Q27+'дод 2'!Q99+'дод 2'!Q144</f>
        <v>0</v>
      </c>
      <c r="Q117" s="75">
        <f>'дод 2'!R27+'дод 2'!R99+'дод 2'!R144</f>
        <v>0</v>
      </c>
      <c r="R117" s="75">
        <f>'дод 2'!S27+'дод 2'!S99+'дод 2'!S144</f>
        <v>0</v>
      </c>
      <c r="S117" s="75">
        <f>'дод 2'!T27+'дод 2'!T99+'дод 2'!T144</f>
        <v>0</v>
      </c>
      <c r="T117" s="75">
        <f>'дод 2'!U27+'дод 2'!U99+'дод 2'!U144</f>
        <v>0</v>
      </c>
      <c r="U117" s="75">
        <f>'дод 2'!V27+'дод 2'!V99+'дод 2'!V144</f>
        <v>0</v>
      </c>
      <c r="V117" s="75">
        <f>'дод 2'!W27+'дод 2'!W99+'дод 2'!W144</f>
        <v>0</v>
      </c>
      <c r="W117" s="75">
        <f>'дод 2'!X27+'дод 2'!X99+'дод 2'!X144</f>
        <v>0</v>
      </c>
      <c r="X117" s="75">
        <f>'дод 2'!Y27+'дод 2'!Y99+'дод 2'!Y144</f>
        <v>0</v>
      </c>
      <c r="Y117" s="168"/>
      <c r="Z117" s="75">
        <f>'дод 2'!AA27+'дод 2'!AA99+'дод 2'!AA144</f>
        <v>59788268.539999999</v>
      </c>
      <c r="AA117" s="75">
        <f>'дод 2'!AB27+'дод 2'!AB99+'дод 2'!AB144</f>
        <v>125277007</v>
      </c>
      <c r="AB117" s="221"/>
    </row>
    <row r="118" spans="1:28" s="106" customFormat="1" ht="21" customHeight="1" x14ac:dyDescent="0.25">
      <c r="A118" s="79"/>
      <c r="B118" s="79"/>
      <c r="C118" s="89" t="s">
        <v>284</v>
      </c>
      <c r="D118" s="80">
        <f>'дод 2'!E145</f>
        <v>238400</v>
      </c>
      <c r="E118" s="80">
        <f>'дод 2'!F145</f>
        <v>238400</v>
      </c>
      <c r="F118" s="80">
        <f>'дод 2'!G145</f>
        <v>0</v>
      </c>
      <c r="G118" s="80">
        <f>'дод 2'!H145</f>
        <v>0</v>
      </c>
      <c r="H118" s="80">
        <f>'дод 2'!I145</f>
        <v>0</v>
      </c>
      <c r="I118" s="80">
        <f>'дод 2'!J145</f>
        <v>50400</v>
      </c>
      <c r="J118" s="80">
        <f>'дод 2'!K145</f>
        <v>0</v>
      </c>
      <c r="K118" s="80">
        <f>'дод 2'!L145</f>
        <v>0</v>
      </c>
      <c r="L118" s="170">
        <f t="shared" si="17"/>
        <v>21.140939597315437</v>
      </c>
      <c r="M118" s="80">
        <f>'дод 2'!N145</f>
        <v>0</v>
      </c>
      <c r="N118" s="80">
        <f>'дод 2'!O145</f>
        <v>0</v>
      </c>
      <c r="O118" s="80">
        <f>'дод 2'!P145</f>
        <v>0</v>
      </c>
      <c r="P118" s="80">
        <f>'дод 2'!Q145</f>
        <v>0</v>
      </c>
      <c r="Q118" s="80">
        <f>'дод 2'!R145</f>
        <v>0</v>
      </c>
      <c r="R118" s="80">
        <f>'дод 2'!S145</f>
        <v>0</v>
      </c>
      <c r="S118" s="80">
        <f>'дод 2'!T145</f>
        <v>0</v>
      </c>
      <c r="T118" s="80">
        <f>'дод 2'!U145</f>
        <v>0</v>
      </c>
      <c r="U118" s="80">
        <f>'дод 2'!V145</f>
        <v>0</v>
      </c>
      <c r="V118" s="80">
        <f>'дод 2'!W145</f>
        <v>0</v>
      </c>
      <c r="W118" s="80">
        <f>'дод 2'!X145</f>
        <v>0</v>
      </c>
      <c r="X118" s="80">
        <f>'дод 2'!Y145</f>
        <v>0</v>
      </c>
      <c r="Y118" s="170"/>
      <c r="Z118" s="80">
        <f>'дод 2'!AA145</f>
        <v>50400</v>
      </c>
      <c r="AA118" s="80">
        <f>'дод 2'!AB145</f>
        <v>238400</v>
      </c>
      <c r="AB118" s="221"/>
    </row>
    <row r="119" spans="1:28" s="106" customFormat="1" ht="69" customHeight="1" x14ac:dyDescent="0.25">
      <c r="A119" s="73"/>
      <c r="B119" s="73"/>
      <c r="C119" s="55" t="s">
        <v>393</v>
      </c>
      <c r="D119" s="75">
        <f>'дод 2'!E146</f>
        <v>51303000</v>
      </c>
      <c r="E119" s="75">
        <f>'дод 2'!F146</f>
        <v>51303000</v>
      </c>
      <c r="F119" s="75">
        <f>'дод 2'!G146</f>
        <v>0</v>
      </c>
      <c r="G119" s="75">
        <f>'дод 2'!H146</f>
        <v>0</v>
      </c>
      <c r="H119" s="75">
        <f>'дод 2'!I146</f>
        <v>0</v>
      </c>
      <c r="I119" s="75">
        <f>'дод 2'!J146</f>
        <v>22630430.850000001</v>
      </c>
      <c r="J119" s="75">
        <f>'дод 2'!K146</f>
        <v>0</v>
      </c>
      <c r="K119" s="75">
        <f>'дод 2'!L146</f>
        <v>0</v>
      </c>
      <c r="L119" s="168">
        <f t="shared" si="17"/>
        <v>44.111320683000997</v>
      </c>
      <c r="M119" s="75">
        <f>'дод 2'!N146</f>
        <v>0</v>
      </c>
      <c r="N119" s="75">
        <f>'дод 2'!O146</f>
        <v>0</v>
      </c>
      <c r="O119" s="75">
        <f>'дод 2'!P146</f>
        <v>0</v>
      </c>
      <c r="P119" s="75">
        <f>'дод 2'!Q146</f>
        <v>0</v>
      </c>
      <c r="Q119" s="75">
        <f>'дод 2'!R146</f>
        <v>0</v>
      </c>
      <c r="R119" s="75">
        <f>'дод 2'!S146</f>
        <v>0</v>
      </c>
      <c r="S119" s="75">
        <f>'дод 2'!T146</f>
        <v>0</v>
      </c>
      <c r="T119" s="75">
        <f>'дод 2'!U146</f>
        <v>0</v>
      </c>
      <c r="U119" s="75">
        <f>'дод 2'!V146</f>
        <v>0</v>
      </c>
      <c r="V119" s="75">
        <f>'дод 2'!W146</f>
        <v>0</v>
      </c>
      <c r="W119" s="75">
        <f>'дод 2'!X146</f>
        <v>0</v>
      </c>
      <c r="X119" s="75">
        <f>'дод 2'!Y146</f>
        <v>0</v>
      </c>
      <c r="Y119" s="168"/>
      <c r="Z119" s="75">
        <f>'дод 2'!AA146</f>
        <v>22630430.850000001</v>
      </c>
      <c r="AA119" s="75">
        <f>'дод 2'!AB146</f>
        <v>51303000</v>
      </c>
      <c r="AB119" s="221"/>
    </row>
    <row r="120" spans="1:28" s="106" customFormat="1" ht="110.25" x14ac:dyDescent="0.25">
      <c r="A120" s="73"/>
      <c r="B120" s="73"/>
      <c r="C120" s="52" t="s">
        <v>448</v>
      </c>
      <c r="D120" s="80">
        <f>'дод 2'!E147</f>
        <v>2868232.83</v>
      </c>
      <c r="E120" s="80">
        <f>'дод 2'!F147</f>
        <v>2868232.83</v>
      </c>
      <c r="F120" s="80">
        <f>'дод 2'!G147</f>
        <v>0</v>
      </c>
      <c r="G120" s="80">
        <f>'дод 2'!H147</f>
        <v>0</v>
      </c>
      <c r="H120" s="80">
        <f>'дод 2'!I147</f>
        <v>0</v>
      </c>
      <c r="I120" s="80">
        <f>'дод 2'!J147</f>
        <v>2868232.83</v>
      </c>
      <c r="J120" s="80">
        <f>'дод 2'!K147</f>
        <v>0</v>
      </c>
      <c r="K120" s="80">
        <f>'дод 2'!L147</f>
        <v>0</v>
      </c>
      <c r="L120" s="170">
        <f t="shared" si="17"/>
        <v>100</v>
      </c>
      <c r="M120" s="80">
        <f>'дод 2'!N147</f>
        <v>0</v>
      </c>
      <c r="N120" s="80">
        <f>'дод 2'!O147</f>
        <v>0</v>
      </c>
      <c r="O120" s="80">
        <f>'дод 2'!P147</f>
        <v>0</v>
      </c>
      <c r="P120" s="80">
        <f>'дод 2'!Q147</f>
        <v>0</v>
      </c>
      <c r="Q120" s="80">
        <f>'дод 2'!R147</f>
        <v>0</v>
      </c>
      <c r="R120" s="80">
        <f>'дод 2'!S147</f>
        <v>0</v>
      </c>
      <c r="S120" s="80">
        <f>'дод 2'!T147</f>
        <v>0</v>
      </c>
      <c r="T120" s="80">
        <f>'дод 2'!U147</f>
        <v>0</v>
      </c>
      <c r="U120" s="80">
        <f>'дод 2'!V147</f>
        <v>0</v>
      </c>
      <c r="V120" s="80">
        <f>'дод 2'!W147</f>
        <v>0</v>
      </c>
      <c r="W120" s="80">
        <f>'дод 2'!X147</f>
        <v>0</v>
      </c>
      <c r="X120" s="80">
        <f>'дод 2'!Y147</f>
        <v>0</v>
      </c>
      <c r="Y120" s="170"/>
      <c r="Z120" s="80">
        <f>'дод 2'!AA147</f>
        <v>2868232.83</v>
      </c>
      <c r="AA120" s="80">
        <f>'дод 2'!AB147</f>
        <v>2868232.83</v>
      </c>
      <c r="AB120" s="221">
        <v>6</v>
      </c>
    </row>
    <row r="121" spans="1:28" s="105" customFormat="1" ht="19.5" customHeight="1" x14ac:dyDescent="0.25">
      <c r="A121" s="76" t="s">
        <v>61</v>
      </c>
      <c r="B121" s="86"/>
      <c r="C121" s="87" t="s">
        <v>62</v>
      </c>
      <c r="D121" s="72">
        <f>D122+D123+D124+D125</f>
        <v>39500800</v>
      </c>
      <c r="E121" s="72">
        <f t="shared" ref="E121:AA121" si="25">E122+E123+E124+E125</f>
        <v>39500800</v>
      </c>
      <c r="F121" s="72">
        <f t="shared" si="25"/>
        <v>26837100</v>
      </c>
      <c r="G121" s="72">
        <f t="shared" si="25"/>
        <v>3653058</v>
      </c>
      <c r="H121" s="72">
        <f t="shared" si="25"/>
        <v>0</v>
      </c>
      <c r="I121" s="72">
        <f t="shared" si="25"/>
        <v>8693354.9900000002</v>
      </c>
      <c r="J121" s="72">
        <f t="shared" si="25"/>
        <v>6106995.9000000004</v>
      </c>
      <c r="K121" s="72">
        <f t="shared" si="25"/>
        <v>1153321.71</v>
      </c>
      <c r="L121" s="167">
        <f t="shared" si="17"/>
        <v>22.008047912953664</v>
      </c>
      <c r="M121" s="72">
        <f t="shared" si="25"/>
        <v>1070000</v>
      </c>
      <c r="N121" s="72">
        <f t="shared" si="25"/>
        <v>1060000</v>
      </c>
      <c r="O121" s="72">
        <f t="shared" si="25"/>
        <v>10000</v>
      </c>
      <c r="P121" s="72">
        <f t="shared" si="25"/>
        <v>0</v>
      </c>
      <c r="Q121" s="72">
        <f t="shared" si="25"/>
        <v>0</v>
      </c>
      <c r="R121" s="72">
        <f t="shared" si="25"/>
        <v>1060000</v>
      </c>
      <c r="S121" s="72">
        <f t="shared" si="25"/>
        <v>229454.25</v>
      </c>
      <c r="T121" s="72">
        <f t="shared" si="25"/>
        <v>0</v>
      </c>
      <c r="U121" s="72">
        <f t="shared" si="25"/>
        <v>10402.09</v>
      </c>
      <c r="V121" s="72">
        <f t="shared" si="25"/>
        <v>0</v>
      </c>
      <c r="W121" s="72">
        <f t="shared" si="25"/>
        <v>0</v>
      </c>
      <c r="X121" s="72">
        <f t="shared" si="25"/>
        <v>219052.16</v>
      </c>
      <c r="Y121" s="167">
        <f t="shared" si="18"/>
        <v>21.444322429906542</v>
      </c>
      <c r="Z121" s="72">
        <f t="shared" si="25"/>
        <v>8922809.2400000002</v>
      </c>
      <c r="AA121" s="72">
        <f t="shared" si="25"/>
        <v>40570800</v>
      </c>
      <c r="AB121" s="221"/>
    </row>
    <row r="122" spans="1:28" ht="22.5" customHeight="1" x14ac:dyDescent="0.25">
      <c r="A122" s="73" t="s">
        <v>63</v>
      </c>
      <c r="B122" s="73" t="s">
        <v>64</v>
      </c>
      <c r="C122" s="56" t="s">
        <v>13</v>
      </c>
      <c r="D122" s="75">
        <f>'дод 2'!E159</f>
        <v>26641500</v>
      </c>
      <c r="E122" s="75">
        <f>'дод 2'!F159</f>
        <v>26641500</v>
      </c>
      <c r="F122" s="75">
        <f>'дод 2'!G159</f>
        <v>18518800</v>
      </c>
      <c r="G122" s="75">
        <f>'дод 2'!H159</f>
        <v>2877800</v>
      </c>
      <c r="H122" s="75">
        <f>'дод 2'!I159</f>
        <v>0</v>
      </c>
      <c r="I122" s="75">
        <f>'дод 2'!J159</f>
        <v>6296265.6299999999</v>
      </c>
      <c r="J122" s="75">
        <f>'дод 2'!K159</f>
        <v>4329266.21</v>
      </c>
      <c r="K122" s="75">
        <f>'дод 2'!L159</f>
        <v>977941.69</v>
      </c>
      <c r="L122" s="168">
        <f t="shared" si="17"/>
        <v>23.633300039412195</v>
      </c>
      <c r="M122" s="75">
        <f>'дод 2'!N159</f>
        <v>670000</v>
      </c>
      <c r="N122" s="75">
        <f>'дод 2'!O159</f>
        <v>660000</v>
      </c>
      <c r="O122" s="75">
        <f>'дод 2'!P159</f>
        <v>10000</v>
      </c>
      <c r="P122" s="75">
        <f>'дод 2'!Q159</f>
        <v>0</v>
      </c>
      <c r="Q122" s="75">
        <f>'дод 2'!R159</f>
        <v>0</v>
      </c>
      <c r="R122" s="75">
        <f>'дод 2'!S159</f>
        <v>660000</v>
      </c>
      <c r="S122" s="75">
        <f>'дод 2'!T159</f>
        <v>228954.25</v>
      </c>
      <c r="T122" s="75">
        <f>'дод 2'!U159</f>
        <v>0</v>
      </c>
      <c r="U122" s="75">
        <f>'дод 2'!V159</f>
        <v>9902.09</v>
      </c>
      <c r="V122" s="75">
        <f>'дод 2'!W159</f>
        <v>0</v>
      </c>
      <c r="W122" s="75">
        <f>'дод 2'!X159</f>
        <v>0</v>
      </c>
      <c r="X122" s="75">
        <f>'дод 2'!Y159</f>
        <v>219052.16</v>
      </c>
      <c r="Y122" s="168">
        <f t="shared" si="18"/>
        <v>34.17227611940298</v>
      </c>
      <c r="Z122" s="75">
        <f>'дод 2'!AA159</f>
        <v>6525219.8799999999</v>
      </c>
      <c r="AA122" s="75">
        <f>'дод 2'!AB159</f>
        <v>27311500</v>
      </c>
      <c r="AB122" s="221"/>
    </row>
    <row r="123" spans="1:28" ht="33.75" customHeight="1" x14ac:dyDescent="0.25">
      <c r="A123" s="73" t="s">
        <v>245</v>
      </c>
      <c r="B123" s="73" t="s">
        <v>246</v>
      </c>
      <c r="C123" s="56" t="s">
        <v>247</v>
      </c>
      <c r="D123" s="75">
        <f>'дод 2'!E160</f>
        <v>5950000</v>
      </c>
      <c r="E123" s="75">
        <f>'дод 2'!F160</f>
        <v>5950000</v>
      </c>
      <c r="F123" s="75">
        <f>'дод 2'!G160</f>
        <v>3831000</v>
      </c>
      <c r="G123" s="75">
        <f>'дод 2'!H160</f>
        <v>413000</v>
      </c>
      <c r="H123" s="75">
        <f>'дод 2'!I160</f>
        <v>0</v>
      </c>
      <c r="I123" s="75">
        <f>'дод 2'!J160</f>
        <v>1000348.26</v>
      </c>
      <c r="J123" s="75">
        <f>'дод 2'!K160</f>
        <v>761202.87</v>
      </c>
      <c r="K123" s="75">
        <f>'дод 2'!L160</f>
        <v>55423.17</v>
      </c>
      <c r="L123" s="168">
        <f t="shared" si="17"/>
        <v>16.81257579831933</v>
      </c>
      <c r="M123" s="75">
        <f>'дод 2'!N160</f>
        <v>400000</v>
      </c>
      <c r="N123" s="75">
        <f>'дод 2'!O160</f>
        <v>400000</v>
      </c>
      <c r="O123" s="75">
        <f>'дод 2'!P160</f>
        <v>0</v>
      </c>
      <c r="P123" s="75">
        <f>'дод 2'!Q160</f>
        <v>0</v>
      </c>
      <c r="Q123" s="75">
        <f>'дод 2'!R160</f>
        <v>0</v>
      </c>
      <c r="R123" s="75">
        <f>'дод 2'!S160</f>
        <v>400000</v>
      </c>
      <c r="S123" s="75">
        <f>'дод 2'!T160</f>
        <v>500</v>
      </c>
      <c r="T123" s="75">
        <f>'дод 2'!U160</f>
        <v>0</v>
      </c>
      <c r="U123" s="75">
        <f>'дод 2'!V160</f>
        <v>500</v>
      </c>
      <c r="V123" s="75">
        <f>'дод 2'!W160</f>
        <v>0</v>
      </c>
      <c r="W123" s="75">
        <f>'дод 2'!X160</f>
        <v>0</v>
      </c>
      <c r="X123" s="75">
        <f>'дод 2'!Y160</f>
        <v>0</v>
      </c>
      <c r="Y123" s="168">
        <f t="shared" si="18"/>
        <v>0.125</v>
      </c>
      <c r="Z123" s="75">
        <f>'дод 2'!AA160</f>
        <v>1000848.26</v>
      </c>
      <c r="AA123" s="75">
        <f>'дод 2'!AB160</f>
        <v>6350000</v>
      </c>
      <c r="AB123" s="221"/>
    </row>
    <row r="124" spans="1:28" s="106" customFormat="1" ht="26.25" customHeight="1" x14ac:dyDescent="0.25">
      <c r="A124" s="73" t="s">
        <v>230</v>
      </c>
      <c r="B124" s="73" t="s">
        <v>65</v>
      </c>
      <c r="C124" s="56" t="s">
        <v>267</v>
      </c>
      <c r="D124" s="75">
        <f>'дод 2'!E28+'дод 2'!E161</f>
        <v>6409300</v>
      </c>
      <c r="E124" s="75">
        <f>'дод 2'!F28+'дод 2'!F161</f>
        <v>6409300</v>
      </c>
      <c r="F124" s="75">
        <f>'дод 2'!G28+'дод 2'!G161</f>
        <v>4487300</v>
      </c>
      <c r="G124" s="75">
        <f>'дод 2'!H28+'дод 2'!H161</f>
        <v>362258</v>
      </c>
      <c r="H124" s="75">
        <f>'дод 2'!I28+'дод 2'!I161</f>
        <v>0</v>
      </c>
      <c r="I124" s="75">
        <f>'дод 2'!J28+'дод 2'!J161</f>
        <v>1382741.1</v>
      </c>
      <c r="J124" s="75">
        <f>'дод 2'!K28+'дод 2'!K161</f>
        <v>1016526.8200000001</v>
      </c>
      <c r="K124" s="75">
        <f>'дод 2'!L28+'дод 2'!L161</f>
        <v>119956.84999999999</v>
      </c>
      <c r="L124" s="168">
        <f t="shared" si="17"/>
        <v>21.573979997815677</v>
      </c>
      <c r="M124" s="75">
        <f>'дод 2'!N28+'дод 2'!N161</f>
        <v>0</v>
      </c>
      <c r="N124" s="75">
        <f>'дод 2'!O28+'дод 2'!O161</f>
        <v>0</v>
      </c>
      <c r="O124" s="75">
        <f>'дод 2'!P28+'дод 2'!P161</f>
        <v>0</v>
      </c>
      <c r="P124" s="75">
        <f>'дод 2'!Q28+'дод 2'!Q161</f>
        <v>0</v>
      </c>
      <c r="Q124" s="75">
        <f>'дод 2'!R28+'дод 2'!R161</f>
        <v>0</v>
      </c>
      <c r="R124" s="75">
        <f>'дод 2'!S28+'дод 2'!S161</f>
        <v>0</v>
      </c>
      <c r="S124" s="75">
        <f>'дод 2'!T28+'дод 2'!T161</f>
        <v>0</v>
      </c>
      <c r="T124" s="75">
        <f>'дод 2'!U28+'дод 2'!U161</f>
        <v>0</v>
      </c>
      <c r="U124" s="75">
        <f>'дод 2'!V28+'дод 2'!V161</f>
        <v>0</v>
      </c>
      <c r="V124" s="75">
        <f>'дод 2'!W28+'дод 2'!W161</f>
        <v>0</v>
      </c>
      <c r="W124" s="75">
        <f>'дод 2'!X28+'дод 2'!X161</f>
        <v>0</v>
      </c>
      <c r="X124" s="75">
        <f>'дод 2'!Y28+'дод 2'!Y161</f>
        <v>0</v>
      </c>
      <c r="Y124" s="168"/>
      <c r="Z124" s="75">
        <f>'дод 2'!AA28+'дод 2'!AA161</f>
        <v>1382741.1</v>
      </c>
      <c r="AA124" s="75">
        <f>'дод 2'!AB28+'дод 2'!AB161</f>
        <v>6409300</v>
      </c>
      <c r="AB124" s="221"/>
    </row>
    <row r="125" spans="1:28" s="106" customFormat="1" ht="22.5" customHeight="1" x14ac:dyDescent="0.25">
      <c r="A125" s="73" t="s">
        <v>231</v>
      </c>
      <c r="B125" s="73" t="s">
        <v>65</v>
      </c>
      <c r="C125" s="56" t="s">
        <v>232</v>
      </c>
      <c r="D125" s="75">
        <f>'дод 2'!E162</f>
        <v>500000</v>
      </c>
      <c r="E125" s="75">
        <f>'дод 2'!F162</f>
        <v>500000</v>
      </c>
      <c r="F125" s="75">
        <f>'дод 2'!G162</f>
        <v>0</v>
      </c>
      <c r="G125" s="75">
        <f>'дод 2'!H162</f>
        <v>0</v>
      </c>
      <c r="H125" s="75">
        <f>'дод 2'!I162</f>
        <v>0</v>
      </c>
      <c r="I125" s="75">
        <f>'дод 2'!J162</f>
        <v>14000</v>
      </c>
      <c r="J125" s="75">
        <f>'дод 2'!K162</f>
        <v>0</v>
      </c>
      <c r="K125" s="75">
        <f>'дод 2'!L162</f>
        <v>0</v>
      </c>
      <c r="L125" s="168">
        <f t="shared" si="17"/>
        <v>2.8000000000000003</v>
      </c>
      <c r="M125" s="75">
        <f>'дод 2'!N162</f>
        <v>0</v>
      </c>
      <c r="N125" s="75">
        <f>'дод 2'!O162</f>
        <v>0</v>
      </c>
      <c r="O125" s="75">
        <f>'дод 2'!P162</f>
        <v>0</v>
      </c>
      <c r="P125" s="75">
        <f>'дод 2'!Q162</f>
        <v>0</v>
      </c>
      <c r="Q125" s="75">
        <f>'дод 2'!R162</f>
        <v>0</v>
      </c>
      <c r="R125" s="75">
        <f>'дод 2'!S162</f>
        <v>0</v>
      </c>
      <c r="S125" s="75">
        <f>'дод 2'!T162</f>
        <v>0</v>
      </c>
      <c r="T125" s="75">
        <f>'дод 2'!U162</f>
        <v>0</v>
      </c>
      <c r="U125" s="75">
        <f>'дод 2'!V162</f>
        <v>0</v>
      </c>
      <c r="V125" s="75">
        <f>'дод 2'!W162</f>
        <v>0</v>
      </c>
      <c r="W125" s="75">
        <f>'дод 2'!X162</f>
        <v>0</v>
      </c>
      <c r="X125" s="75">
        <f>'дод 2'!Y162</f>
        <v>0</v>
      </c>
      <c r="Y125" s="168"/>
      <c r="Z125" s="75">
        <f>'дод 2'!AA162</f>
        <v>14000</v>
      </c>
      <c r="AA125" s="75">
        <f>'дод 2'!AB162</f>
        <v>500000</v>
      </c>
      <c r="AB125" s="221"/>
    </row>
    <row r="126" spans="1:28" s="105" customFormat="1" ht="21.75" customHeight="1" x14ac:dyDescent="0.25">
      <c r="A126" s="76" t="s">
        <v>66</v>
      </c>
      <c r="B126" s="86"/>
      <c r="C126" s="87" t="s">
        <v>327</v>
      </c>
      <c r="D126" s="72">
        <f>D127+D128+D129+D130+D131+D132</f>
        <v>88656785</v>
      </c>
      <c r="E126" s="72">
        <f t="shared" ref="E126:AA126" si="26">E127+E128+E129+E130+E131+E132</f>
        <v>88656785</v>
      </c>
      <c r="F126" s="72">
        <f t="shared" si="26"/>
        <v>33577600</v>
      </c>
      <c r="G126" s="72">
        <f t="shared" si="26"/>
        <v>3389300</v>
      </c>
      <c r="H126" s="72">
        <f t="shared" si="26"/>
        <v>0</v>
      </c>
      <c r="I126" s="72">
        <f t="shared" si="26"/>
        <v>19773901.809999999</v>
      </c>
      <c r="J126" s="72">
        <f t="shared" si="26"/>
        <v>7705371.2499999991</v>
      </c>
      <c r="K126" s="72">
        <f t="shared" si="26"/>
        <v>984732.37999999989</v>
      </c>
      <c r="L126" s="167">
        <f t="shared" si="17"/>
        <v>22.303878727386742</v>
      </c>
      <c r="M126" s="72">
        <f t="shared" si="26"/>
        <v>633800</v>
      </c>
      <c r="N126" s="72">
        <f t="shared" si="26"/>
        <v>50000</v>
      </c>
      <c r="O126" s="72">
        <f t="shared" si="26"/>
        <v>583800</v>
      </c>
      <c r="P126" s="72">
        <f t="shared" si="26"/>
        <v>352800</v>
      </c>
      <c r="Q126" s="72">
        <f t="shared" si="26"/>
        <v>48438</v>
      </c>
      <c r="R126" s="72">
        <f t="shared" si="26"/>
        <v>50000</v>
      </c>
      <c r="S126" s="72">
        <f t="shared" si="26"/>
        <v>24887.63</v>
      </c>
      <c r="T126" s="72">
        <f t="shared" si="26"/>
        <v>0</v>
      </c>
      <c r="U126" s="72">
        <f t="shared" si="26"/>
        <v>24887.63</v>
      </c>
      <c r="V126" s="72">
        <f t="shared" si="26"/>
        <v>0</v>
      </c>
      <c r="W126" s="72">
        <f t="shared" si="26"/>
        <v>8730.4</v>
      </c>
      <c r="X126" s="72">
        <f t="shared" si="26"/>
        <v>0</v>
      </c>
      <c r="Y126" s="167">
        <f t="shared" si="18"/>
        <v>3.92673240769959</v>
      </c>
      <c r="Z126" s="72">
        <f t="shared" si="26"/>
        <v>19798789.440000001</v>
      </c>
      <c r="AA126" s="72">
        <f t="shared" si="26"/>
        <v>89290585</v>
      </c>
      <c r="AB126" s="221"/>
    </row>
    <row r="127" spans="1:28" s="106" customFormat="1" ht="37.5" customHeight="1" x14ac:dyDescent="0.25">
      <c r="A127" s="73" t="s">
        <v>67</v>
      </c>
      <c r="B127" s="73" t="s">
        <v>68</v>
      </c>
      <c r="C127" s="56" t="s">
        <v>18</v>
      </c>
      <c r="D127" s="75">
        <f>'дод 2'!E29</f>
        <v>1150000</v>
      </c>
      <c r="E127" s="75">
        <f>'дод 2'!F29</f>
        <v>1150000</v>
      </c>
      <c r="F127" s="75">
        <f>'дод 2'!G29</f>
        <v>0</v>
      </c>
      <c r="G127" s="75">
        <f>'дод 2'!H29</f>
        <v>0</v>
      </c>
      <c r="H127" s="75">
        <f>'дод 2'!I29</f>
        <v>0</v>
      </c>
      <c r="I127" s="75">
        <f>'дод 2'!J29</f>
        <v>116948.6</v>
      </c>
      <c r="J127" s="75">
        <f>'дод 2'!K29</f>
        <v>0</v>
      </c>
      <c r="K127" s="75">
        <f>'дод 2'!L29</f>
        <v>0</v>
      </c>
      <c r="L127" s="168">
        <f t="shared" si="17"/>
        <v>10.16944347826087</v>
      </c>
      <c r="M127" s="75">
        <f>'дод 2'!N29</f>
        <v>0</v>
      </c>
      <c r="N127" s="75">
        <f>'дод 2'!O29</f>
        <v>0</v>
      </c>
      <c r="O127" s="75">
        <f>'дод 2'!P29</f>
        <v>0</v>
      </c>
      <c r="P127" s="75">
        <f>'дод 2'!Q29</f>
        <v>0</v>
      </c>
      <c r="Q127" s="75">
        <f>'дод 2'!R29</f>
        <v>0</v>
      </c>
      <c r="R127" s="75">
        <f>'дод 2'!S29</f>
        <v>0</v>
      </c>
      <c r="S127" s="75">
        <f>'дод 2'!T29</f>
        <v>0</v>
      </c>
      <c r="T127" s="75">
        <f>'дод 2'!U29</f>
        <v>0</v>
      </c>
      <c r="U127" s="75">
        <f>'дод 2'!V29</f>
        <v>0</v>
      </c>
      <c r="V127" s="75">
        <f>'дод 2'!W29</f>
        <v>0</v>
      </c>
      <c r="W127" s="75">
        <f>'дод 2'!X29</f>
        <v>0</v>
      </c>
      <c r="X127" s="75">
        <f>'дод 2'!Y29</f>
        <v>0</v>
      </c>
      <c r="Y127" s="168"/>
      <c r="Z127" s="75">
        <f>'дод 2'!AA29</f>
        <v>116948.6</v>
      </c>
      <c r="AA127" s="75">
        <f>'дод 2'!AB29</f>
        <v>1150000</v>
      </c>
      <c r="AB127" s="221"/>
    </row>
    <row r="128" spans="1:28" s="106" customFormat="1" ht="34.5" customHeight="1" x14ac:dyDescent="0.25">
      <c r="A128" s="73" t="s">
        <v>69</v>
      </c>
      <c r="B128" s="73" t="s">
        <v>68</v>
      </c>
      <c r="C128" s="56" t="s">
        <v>14</v>
      </c>
      <c r="D128" s="75">
        <f>'дод 2'!E30</f>
        <v>1150000</v>
      </c>
      <c r="E128" s="75">
        <f>'дод 2'!F30</f>
        <v>1150000</v>
      </c>
      <c r="F128" s="75">
        <f>'дод 2'!G30</f>
        <v>0</v>
      </c>
      <c r="G128" s="75">
        <f>'дод 2'!H30</f>
        <v>0</v>
      </c>
      <c r="H128" s="75">
        <f>'дод 2'!I30</f>
        <v>0</v>
      </c>
      <c r="I128" s="75">
        <f>'дод 2'!J30</f>
        <v>88468.56</v>
      </c>
      <c r="J128" s="75">
        <f>'дод 2'!K30</f>
        <v>0</v>
      </c>
      <c r="K128" s="75">
        <f>'дод 2'!L30</f>
        <v>0</v>
      </c>
      <c r="L128" s="168">
        <f t="shared" si="17"/>
        <v>7.6929182608695648</v>
      </c>
      <c r="M128" s="75">
        <f>'дод 2'!N30</f>
        <v>0</v>
      </c>
      <c r="N128" s="75">
        <f>'дод 2'!O30</f>
        <v>0</v>
      </c>
      <c r="O128" s="75">
        <f>'дод 2'!P30</f>
        <v>0</v>
      </c>
      <c r="P128" s="75">
        <f>'дод 2'!Q30</f>
        <v>0</v>
      </c>
      <c r="Q128" s="75">
        <f>'дод 2'!R30</f>
        <v>0</v>
      </c>
      <c r="R128" s="75">
        <f>'дод 2'!S30</f>
        <v>0</v>
      </c>
      <c r="S128" s="75">
        <f>'дод 2'!T30</f>
        <v>0</v>
      </c>
      <c r="T128" s="75">
        <f>'дод 2'!U30</f>
        <v>0</v>
      </c>
      <c r="U128" s="75">
        <f>'дод 2'!V30</f>
        <v>0</v>
      </c>
      <c r="V128" s="75">
        <f>'дод 2'!W30</f>
        <v>0</v>
      </c>
      <c r="W128" s="75">
        <f>'дод 2'!X30</f>
        <v>0</v>
      </c>
      <c r="X128" s="75">
        <f>'дод 2'!Y30</f>
        <v>0</v>
      </c>
      <c r="Y128" s="168"/>
      <c r="Z128" s="75">
        <f>'дод 2'!AA30</f>
        <v>88468.56</v>
      </c>
      <c r="AA128" s="75">
        <f>'дод 2'!AB30</f>
        <v>1150000</v>
      </c>
      <c r="AB128" s="221"/>
    </row>
    <row r="129" spans="1:30" s="106" customFormat="1" ht="47.25" x14ac:dyDescent="0.25">
      <c r="A129" s="73" t="s">
        <v>98</v>
      </c>
      <c r="B129" s="73" t="s">
        <v>68</v>
      </c>
      <c r="C129" s="56" t="s">
        <v>422</v>
      </c>
      <c r="D129" s="75">
        <f>'дод 2'!E31+'дод 2'!E100</f>
        <v>40687100</v>
      </c>
      <c r="E129" s="75">
        <f>'дод 2'!F31+'дод 2'!F100</f>
        <v>40687100</v>
      </c>
      <c r="F129" s="75">
        <f>'дод 2'!G31+'дод 2'!G100</f>
        <v>28906600</v>
      </c>
      <c r="G129" s="75">
        <f>'дод 2'!H31+'дод 2'!H100</f>
        <v>2441200</v>
      </c>
      <c r="H129" s="75">
        <f>'дод 2'!I31+'дод 2'!I100</f>
        <v>0</v>
      </c>
      <c r="I129" s="75">
        <f>'дод 2'!J31+'дод 2'!J100</f>
        <v>9099285.8300000001</v>
      </c>
      <c r="J129" s="75">
        <f>'дод 2'!K31+'дод 2'!K100</f>
        <v>6603285.7899999991</v>
      </c>
      <c r="K129" s="75">
        <f>'дод 2'!L31+'дод 2'!L100</f>
        <v>700013.80999999994</v>
      </c>
      <c r="L129" s="168">
        <f t="shared" si="17"/>
        <v>22.364056003008326</v>
      </c>
      <c r="M129" s="75">
        <f>'дод 2'!N31+'дод 2'!N100</f>
        <v>0</v>
      </c>
      <c r="N129" s="75">
        <f>'дод 2'!O31+'дод 2'!O100</f>
        <v>0</v>
      </c>
      <c r="O129" s="75">
        <f>'дод 2'!P31+'дод 2'!P100</f>
        <v>0</v>
      </c>
      <c r="P129" s="75">
        <f>'дод 2'!Q31+'дод 2'!Q100</f>
        <v>0</v>
      </c>
      <c r="Q129" s="75">
        <f>'дод 2'!R31+'дод 2'!R100</f>
        <v>0</v>
      </c>
      <c r="R129" s="75">
        <f>'дод 2'!S31+'дод 2'!S100</f>
        <v>0</v>
      </c>
      <c r="S129" s="75">
        <f>'дод 2'!T31+'дод 2'!T100</f>
        <v>0</v>
      </c>
      <c r="T129" s="75">
        <f>'дод 2'!U31+'дод 2'!U100</f>
        <v>0</v>
      </c>
      <c r="U129" s="75">
        <f>'дод 2'!V31+'дод 2'!V100</f>
        <v>0</v>
      </c>
      <c r="V129" s="75">
        <f>'дод 2'!W31+'дод 2'!W100</f>
        <v>0</v>
      </c>
      <c r="W129" s="75">
        <f>'дод 2'!X31+'дод 2'!X100</f>
        <v>0</v>
      </c>
      <c r="X129" s="75">
        <f>'дод 2'!Y31+'дод 2'!Y100</f>
        <v>0</v>
      </c>
      <c r="Y129" s="168"/>
      <c r="Z129" s="75">
        <f>'дод 2'!AA31+'дод 2'!AA100</f>
        <v>9099285.8300000001</v>
      </c>
      <c r="AA129" s="75">
        <f>'дод 2'!AB31+'дод 2'!AB100</f>
        <v>40687100</v>
      </c>
      <c r="AB129" s="221"/>
    </row>
    <row r="130" spans="1:30" s="106" customFormat="1" ht="38.25" customHeight="1" x14ac:dyDescent="0.25">
      <c r="A130" s="73" t="s">
        <v>99</v>
      </c>
      <c r="B130" s="73" t="s">
        <v>68</v>
      </c>
      <c r="C130" s="56" t="s">
        <v>19</v>
      </c>
      <c r="D130" s="75">
        <f>'дод 2'!E32</f>
        <v>20518600</v>
      </c>
      <c r="E130" s="75">
        <f>'дод 2'!F32</f>
        <v>20518600</v>
      </c>
      <c r="F130" s="75">
        <f>'дод 2'!G32</f>
        <v>0</v>
      </c>
      <c r="G130" s="75">
        <f>'дод 2'!H32</f>
        <v>0</v>
      </c>
      <c r="H130" s="75">
        <f>'дод 2'!I32</f>
        <v>0</v>
      </c>
      <c r="I130" s="75">
        <f>'дод 2'!J32</f>
        <v>4674354.5</v>
      </c>
      <c r="J130" s="75">
        <f>'дод 2'!K32</f>
        <v>0</v>
      </c>
      <c r="K130" s="75">
        <f>'дод 2'!L32</f>
        <v>0</v>
      </c>
      <c r="L130" s="168">
        <f t="shared" si="17"/>
        <v>22.781059623950952</v>
      </c>
      <c r="M130" s="75">
        <f>'дод 2'!N32</f>
        <v>0</v>
      </c>
      <c r="N130" s="75">
        <f>'дод 2'!O32</f>
        <v>0</v>
      </c>
      <c r="O130" s="75">
        <f>'дод 2'!P32</f>
        <v>0</v>
      </c>
      <c r="P130" s="75">
        <f>'дод 2'!Q32</f>
        <v>0</v>
      </c>
      <c r="Q130" s="75">
        <f>'дод 2'!R32</f>
        <v>0</v>
      </c>
      <c r="R130" s="75">
        <f>'дод 2'!S32</f>
        <v>0</v>
      </c>
      <c r="S130" s="75">
        <f>'дод 2'!T32</f>
        <v>0</v>
      </c>
      <c r="T130" s="75">
        <f>'дод 2'!U32</f>
        <v>0</v>
      </c>
      <c r="U130" s="75">
        <f>'дод 2'!V32</f>
        <v>0</v>
      </c>
      <c r="V130" s="75">
        <f>'дод 2'!W32</f>
        <v>0</v>
      </c>
      <c r="W130" s="75">
        <f>'дод 2'!X32</f>
        <v>0</v>
      </c>
      <c r="X130" s="75">
        <f>'дод 2'!Y32</f>
        <v>0</v>
      </c>
      <c r="Y130" s="168"/>
      <c r="Z130" s="75">
        <f>'дод 2'!AA32</f>
        <v>4674354.5</v>
      </c>
      <c r="AA130" s="75">
        <f>'дод 2'!AB32</f>
        <v>20518600</v>
      </c>
      <c r="AB130" s="221"/>
    </row>
    <row r="131" spans="1:30" s="106" customFormat="1" ht="48" customHeight="1" x14ac:dyDescent="0.25">
      <c r="A131" s="73" t="s">
        <v>95</v>
      </c>
      <c r="B131" s="73" t="s">
        <v>68</v>
      </c>
      <c r="C131" s="56" t="s">
        <v>524</v>
      </c>
      <c r="D131" s="75">
        <f>'дод 2'!E33</f>
        <v>8289285</v>
      </c>
      <c r="E131" s="75">
        <f>'дод 2'!F33</f>
        <v>8289285</v>
      </c>
      <c r="F131" s="75">
        <f>'дод 2'!G33</f>
        <v>4671000</v>
      </c>
      <c r="G131" s="75">
        <f>'дод 2'!H33</f>
        <v>948100</v>
      </c>
      <c r="H131" s="75">
        <f>'дод 2'!I33</f>
        <v>0</v>
      </c>
      <c r="I131" s="75">
        <f>'дод 2'!J33</f>
        <v>1779985.95</v>
      </c>
      <c r="J131" s="75">
        <f>'дод 2'!K33</f>
        <v>1102085.46</v>
      </c>
      <c r="K131" s="75">
        <f>'дод 2'!L33</f>
        <v>284718.57</v>
      </c>
      <c r="L131" s="168">
        <f t="shared" si="17"/>
        <v>21.473335154962097</v>
      </c>
      <c r="M131" s="75">
        <f>'дод 2'!N33</f>
        <v>633800</v>
      </c>
      <c r="N131" s="75">
        <f>'дод 2'!O33</f>
        <v>50000</v>
      </c>
      <c r="O131" s="75">
        <f>'дод 2'!P33</f>
        <v>583800</v>
      </c>
      <c r="P131" s="75">
        <f>'дод 2'!Q33</f>
        <v>352800</v>
      </c>
      <c r="Q131" s="75">
        <f>'дод 2'!R33</f>
        <v>48438</v>
      </c>
      <c r="R131" s="75">
        <f>'дод 2'!S33</f>
        <v>50000</v>
      </c>
      <c r="S131" s="75">
        <f>'дод 2'!T33</f>
        <v>24887.63</v>
      </c>
      <c r="T131" s="75">
        <f>'дод 2'!U33</f>
        <v>0</v>
      </c>
      <c r="U131" s="75">
        <f>'дод 2'!V33</f>
        <v>24887.63</v>
      </c>
      <c r="V131" s="75">
        <f>'дод 2'!W33</f>
        <v>0</v>
      </c>
      <c r="W131" s="75">
        <f>'дод 2'!X33</f>
        <v>8730.4</v>
      </c>
      <c r="X131" s="75">
        <f>'дод 2'!Y33</f>
        <v>0</v>
      </c>
      <c r="Y131" s="168">
        <f t="shared" si="18"/>
        <v>3.92673240769959</v>
      </c>
      <c r="Z131" s="75">
        <f>'дод 2'!AA33</f>
        <v>1804873.5799999998</v>
      </c>
      <c r="AA131" s="75">
        <f>'дод 2'!AB33</f>
        <v>8923085</v>
      </c>
      <c r="AB131" s="221"/>
    </row>
    <row r="132" spans="1:30" s="106" customFormat="1" ht="38.25" customHeight="1" x14ac:dyDescent="0.25">
      <c r="A132" s="73" t="s">
        <v>97</v>
      </c>
      <c r="B132" s="73" t="s">
        <v>68</v>
      </c>
      <c r="C132" s="56" t="s">
        <v>96</v>
      </c>
      <c r="D132" s="75">
        <f>'дод 2'!E34</f>
        <v>16861800</v>
      </c>
      <c r="E132" s="75">
        <f>'дод 2'!F34</f>
        <v>16861800</v>
      </c>
      <c r="F132" s="75">
        <f>'дод 2'!G34</f>
        <v>0</v>
      </c>
      <c r="G132" s="75">
        <f>'дод 2'!H34</f>
        <v>0</v>
      </c>
      <c r="H132" s="75">
        <f>'дод 2'!I34</f>
        <v>0</v>
      </c>
      <c r="I132" s="75">
        <f>'дод 2'!J34</f>
        <v>4014858.37</v>
      </c>
      <c r="J132" s="75">
        <f>'дод 2'!K34</f>
        <v>0</v>
      </c>
      <c r="K132" s="75">
        <f>'дод 2'!L34</f>
        <v>0</v>
      </c>
      <c r="L132" s="168">
        <f t="shared" si="17"/>
        <v>23.810378310737882</v>
      </c>
      <c r="M132" s="75">
        <f>'дод 2'!N34</f>
        <v>0</v>
      </c>
      <c r="N132" s="75">
        <f>'дод 2'!O34</f>
        <v>0</v>
      </c>
      <c r="O132" s="75">
        <f>'дод 2'!P34</f>
        <v>0</v>
      </c>
      <c r="P132" s="75">
        <f>'дод 2'!Q34</f>
        <v>0</v>
      </c>
      <c r="Q132" s="75">
        <f>'дод 2'!R34</f>
        <v>0</v>
      </c>
      <c r="R132" s="75">
        <f>'дод 2'!S34</f>
        <v>0</v>
      </c>
      <c r="S132" s="75">
        <f>'дод 2'!T34</f>
        <v>0</v>
      </c>
      <c r="T132" s="75">
        <f>'дод 2'!U34</f>
        <v>0</v>
      </c>
      <c r="U132" s="75">
        <f>'дод 2'!V34</f>
        <v>0</v>
      </c>
      <c r="V132" s="75">
        <f>'дод 2'!W34</f>
        <v>0</v>
      </c>
      <c r="W132" s="75">
        <f>'дод 2'!X34</f>
        <v>0</v>
      </c>
      <c r="X132" s="75">
        <f>'дод 2'!Y34</f>
        <v>0</v>
      </c>
      <c r="Y132" s="168"/>
      <c r="Z132" s="75">
        <f>'дод 2'!AA34</f>
        <v>4014858.37</v>
      </c>
      <c r="AA132" s="75">
        <f>'дод 2'!AB34</f>
        <v>16861800</v>
      </c>
      <c r="AB132" s="221"/>
    </row>
    <row r="133" spans="1:30" s="105" customFormat="1" ht="26.25" customHeight="1" x14ac:dyDescent="0.25">
      <c r="A133" s="76" t="s">
        <v>57</v>
      </c>
      <c r="B133" s="86"/>
      <c r="C133" s="87" t="s">
        <v>493</v>
      </c>
      <c r="D133" s="72">
        <f>D135+D137+D138+D139+D141+D142+D140+D136+D143+D144</f>
        <v>372866460</v>
      </c>
      <c r="E133" s="72">
        <f t="shared" ref="E133:AA133" si="27">E135+E137+E138+E139+E141+E142+E140+E136+E143+E144</f>
        <v>307718960</v>
      </c>
      <c r="F133" s="72">
        <f t="shared" si="27"/>
        <v>0</v>
      </c>
      <c r="G133" s="72">
        <f t="shared" si="27"/>
        <v>55206000</v>
      </c>
      <c r="H133" s="72">
        <f t="shared" si="27"/>
        <v>65147500</v>
      </c>
      <c r="I133" s="72">
        <f t="shared" si="27"/>
        <v>66433236.900000006</v>
      </c>
      <c r="J133" s="72">
        <f t="shared" si="27"/>
        <v>0</v>
      </c>
      <c r="K133" s="72">
        <f t="shared" si="27"/>
        <v>9272439.8599999994</v>
      </c>
      <c r="L133" s="167">
        <f t="shared" si="17"/>
        <v>17.816898012226684</v>
      </c>
      <c r="M133" s="72">
        <f t="shared" si="27"/>
        <v>122852928</v>
      </c>
      <c r="N133" s="72">
        <f t="shared" si="27"/>
        <v>122510928</v>
      </c>
      <c r="O133" s="72">
        <f t="shared" si="27"/>
        <v>0</v>
      </c>
      <c r="P133" s="72">
        <f t="shared" si="27"/>
        <v>0</v>
      </c>
      <c r="Q133" s="72">
        <f t="shared" si="27"/>
        <v>0</v>
      </c>
      <c r="R133" s="72">
        <f t="shared" si="27"/>
        <v>122852928</v>
      </c>
      <c r="S133" s="72">
        <f t="shared" si="27"/>
        <v>2513573.46</v>
      </c>
      <c r="T133" s="72">
        <f t="shared" si="27"/>
        <v>1708073.46</v>
      </c>
      <c r="U133" s="72">
        <f t="shared" si="27"/>
        <v>0</v>
      </c>
      <c r="V133" s="72">
        <f t="shared" si="27"/>
        <v>0</v>
      </c>
      <c r="W133" s="72">
        <f t="shared" si="27"/>
        <v>0</v>
      </c>
      <c r="X133" s="72">
        <f t="shared" si="27"/>
        <v>2513573.46</v>
      </c>
      <c r="Y133" s="167">
        <f t="shared" si="18"/>
        <v>2.0460020781922266</v>
      </c>
      <c r="Z133" s="72">
        <f t="shared" si="27"/>
        <v>68946810.360000014</v>
      </c>
      <c r="AA133" s="72">
        <f t="shared" si="27"/>
        <v>495719388</v>
      </c>
      <c r="AB133" s="221"/>
      <c r="AD133" s="108">
        <f>E133+H133</f>
        <v>372866460</v>
      </c>
    </row>
    <row r="134" spans="1:30" s="119" customFormat="1" ht="68.25" customHeight="1" x14ac:dyDescent="0.25">
      <c r="A134" s="77"/>
      <c r="B134" s="49"/>
      <c r="C134" s="88" t="str">
        <f>C145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D134" s="78">
        <f>D145</f>
        <v>0</v>
      </c>
      <c r="E134" s="78">
        <f t="shared" ref="E134:AA134" si="28">E145</f>
        <v>0</v>
      </c>
      <c r="F134" s="78">
        <f t="shared" si="28"/>
        <v>0</v>
      </c>
      <c r="G134" s="78">
        <f t="shared" si="28"/>
        <v>0</v>
      </c>
      <c r="H134" s="78">
        <f t="shared" si="28"/>
        <v>0</v>
      </c>
      <c r="I134" s="78">
        <f t="shared" si="28"/>
        <v>0</v>
      </c>
      <c r="J134" s="78">
        <f t="shared" si="28"/>
        <v>0</v>
      </c>
      <c r="K134" s="78">
        <f t="shared" si="28"/>
        <v>0</v>
      </c>
      <c r="L134" s="169"/>
      <c r="M134" s="78">
        <f t="shared" si="28"/>
        <v>89775000</v>
      </c>
      <c r="N134" s="78">
        <f t="shared" si="28"/>
        <v>89775000</v>
      </c>
      <c r="O134" s="78">
        <f t="shared" si="28"/>
        <v>0</v>
      </c>
      <c r="P134" s="78">
        <f t="shared" si="28"/>
        <v>0</v>
      </c>
      <c r="Q134" s="78">
        <f t="shared" si="28"/>
        <v>0</v>
      </c>
      <c r="R134" s="78">
        <f t="shared" si="28"/>
        <v>89775000</v>
      </c>
      <c r="S134" s="78">
        <f t="shared" si="28"/>
        <v>0</v>
      </c>
      <c r="T134" s="78">
        <f t="shared" si="28"/>
        <v>0</v>
      </c>
      <c r="U134" s="78">
        <f t="shared" si="28"/>
        <v>0</v>
      </c>
      <c r="V134" s="78">
        <f t="shared" si="28"/>
        <v>0</v>
      </c>
      <c r="W134" s="78">
        <f t="shared" si="28"/>
        <v>0</v>
      </c>
      <c r="X134" s="78">
        <f t="shared" si="28"/>
        <v>0</v>
      </c>
      <c r="Y134" s="169">
        <f t="shared" si="18"/>
        <v>0</v>
      </c>
      <c r="Z134" s="78">
        <f t="shared" si="28"/>
        <v>0</v>
      </c>
      <c r="AA134" s="78">
        <f t="shared" si="28"/>
        <v>89775000</v>
      </c>
      <c r="AB134" s="221"/>
      <c r="AD134" s="120"/>
    </row>
    <row r="135" spans="1:30" s="106" customFormat="1" ht="23.25" customHeight="1" x14ac:dyDescent="0.25">
      <c r="A135" s="73" t="s">
        <v>108</v>
      </c>
      <c r="B135" s="73" t="s">
        <v>60</v>
      </c>
      <c r="C135" s="56" t="s">
        <v>121</v>
      </c>
      <c r="D135" s="75">
        <f>'дод 2'!E171</f>
        <v>61005000</v>
      </c>
      <c r="E135" s="75">
        <f>'дод 2'!F171</f>
        <v>1005000</v>
      </c>
      <c r="F135" s="75">
        <f>'дод 2'!G171</f>
        <v>0</v>
      </c>
      <c r="G135" s="75">
        <f>'дод 2'!H171</f>
        <v>0</v>
      </c>
      <c r="H135" s="75">
        <f>'дод 2'!I171</f>
        <v>60000000</v>
      </c>
      <c r="I135" s="75">
        <f>'дод 2'!J171</f>
        <v>30448481.57</v>
      </c>
      <c r="J135" s="75">
        <f>'дод 2'!K171</f>
        <v>0</v>
      </c>
      <c r="K135" s="75">
        <f>'дод 2'!L171</f>
        <v>0</v>
      </c>
      <c r="L135" s="168">
        <f t="shared" si="17"/>
        <v>49.911452454716823</v>
      </c>
      <c r="M135" s="75">
        <f>'дод 2'!N171</f>
        <v>0</v>
      </c>
      <c r="N135" s="75">
        <f>'дод 2'!O171</f>
        <v>0</v>
      </c>
      <c r="O135" s="75">
        <f>'дод 2'!P171</f>
        <v>0</v>
      </c>
      <c r="P135" s="75">
        <f>'дод 2'!Q171</f>
        <v>0</v>
      </c>
      <c r="Q135" s="75">
        <f>'дод 2'!R171</f>
        <v>0</v>
      </c>
      <c r="R135" s="75">
        <f>'дод 2'!S171</f>
        <v>0</v>
      </c>
      <c r="S135" s="75">
        <f>'дод 2'!T171</f>
        <v>0</v>
      </c>
      <c r="T135" s="75">
        <f>'дод 2'!U171</f>
        <v>0</v>
      </c>
      <c r="U135" s="75">
        <f>'дод 2'!V171</f>
        <v>0</v>
      </c>
      <c r="V135" s="75">
        <f>'дод 2'!W171</f>
        <v>0</v>
      </c>
      <c r="W135" s="75">
        <f>'дод 2'!X171</f>
        <v>0</v>
      </c>
      <c r="X135" s="75">
        <f>'дод 2'!Y171</f>
        <v>0</v>
      </c>
      <c r="Y135" s="168"/>
      <c r="Z135" s="75">
        <f>'дод 2'!AA171</f>
        <v>30448481.57</v>
      </c>
      <c r="AA135" s="75">
        <f>'дод 2'!AB171</f>
        <v>61005000</v>
      </c>
      <c r="AB135" s="221"/>
    </row>
    <row r="136" spans="1:30" s="106" customFormat="1" ht="22.5" customHeight="1" x14ac:dyDescent="0.25">
      <c r="A136" s="73">
        <v>6014</v>
      </c>
      <c r="B136" s="91" t="s">
        <v>60</v>
      </c>
      <c r="C136" s="56" t="s">
        <v>378</v>
      </c>
      <c r="D136" s="75">
        <f>'дод 2'!E172</f>
        <v>6500000</v>
      </c>
      <c r="E136" s="75">
        <f>'дод 2'!F172</f>
        <v>6500000</v>
      </c>
      <c r="F136" s="75">
        <f>'дод 2'!G172</f>
        <v>0</v>
      </c>
      <c r="G136" s="75">
        <f>'дод 2'!H172</f>
        <v>0</v>
      </c>
      <c r="H136" s="75">
        <f>'дод 2'!I172</f>
        <v>0</v>
      </c>
      <c r="I136" s="75">
        <f>'дод 2'!J172</f>
        <v>0</v>
      </c>
      <c r="J136" s="75">
        <f>'дод 2'!K172</f>
        <v>0</v>
      </c>
      <c r="K136" s="75">
        <f>'дод 2'!L172</f>
        <v>0</v>
      </c>
      <c r="L136" s="168">
        <f t="shared" si="17"/>
        <v>0</v>
      </c>
      <c r="M136" s="75">
        <f>'дод 2'!N172</f>
        <v>0</v>
      </c>
      <c r="N136" s="75">
        <f>'дод 2'!O172</f>
        <v>0</v>
      </c>
      <c r="O136" s="75">
        <f>'дод 2'!P172</f>
        <v>0</v>
      </c>
      <c r="P136" s="75">
        <f>'дод 2'!Q172</f>
        <v>0</v>
      </c>
      <c r="Q136" s="75">
        <f>'дод 2'!R172</f>
        <v>0</v>
      </c>
      <c r="R136" s="75">
        <f>'дод 2'!S172</f>
        <v>0</v>
      </c>
      <c r="S136" s="75">
        <f>'дод 2'!T172</f>
        <v>0</v>
      </c>
      <c r="T136" s="75">
        <f>'дод 2'!U172</f>
        <v>0</v>
      </c>
      <c r="U136" s="75">
        <f>'дод 2'!V172</f>
        <v>0</v>
      </c>
      <c r="V136" s="75">
        <f>'дод 2'!W172</f>
        <v>0</v>
      </c>
      <c r="W136" s="75">
        <f>'дод 2'!X172</f>
        <v>0</v>
      </c>
      <c r="X136" s="75">
        <f>'дод 2'!Y172</f>
        <v>0</v>
      </c>
      <c r="Y136" s="168"/>
      <c r="Z136" s="75">
        <f>'дод 2'!AA172</f>
        <v>0</v>
      </c>
      <c r="AA136" s="75">
        <f>'дод 2'!AB172</f>
        <v>6500000</v>
      </c>
      <c r="AB136" s="221"/>
    </row>
    <row r="137" spans="1:30" s="106" customFormat="1" ht="33" customHeight="1" x14ac:dyDescent="0.25">
      <c r="A137" s="73" t="s">
        <v>214</v>
      </c>
      <c r="B137" s="73" t="s">
        <v>60</v>
      </c>
      <c r="C137" s="56" t="s">
        <v>268</v>
      </c>
      <c r="D137" s="75">
        <f>'дод 2'!E173</f>
        <v>400000</v>
      </c>
      <c r="E137" s="75">
        <f>'дод 2'!F173</f>
        <v>400000</v>
      </c>
      <c r="F137" s="75">
        <f>'дод 2'!G173</f>
        <v>0</v>
      </c>
      <c r="G137" s="75">
        <f>'дод 2'!H173</f>
        <v>0</v>
      </c>
      <c r="H137" s="75">
        <f>'дод 2'!I173</f>
        <v>0</v>
      </c>
      <c r="I137" s="75">
        <f>'дод 2'!J173</f>
        <v>39029.42</v>
      </c>
      <c r="J137" s="75">
        <f>'дод 2'!K173</f>
        <v>0</v>
      </c>
      <c r="K137" s="75">
        <f>'дод 2'!L173</f>
        <v>0</v>
      </c>
      <c r="L137" s="168">
        <f t="shared" si="17"/>
        <v>9.7573549999999987</v>
      </c>
      <c r="M137" s="75">
        <f>'дод 2'!N173</f>
        <v>0</v>
      </c>
      <c r="N137" s="75">
        <f>'дод 2'!O173</f>
        <v>0</v>
      </c>
      <c r="O137" s="75">
        <f>'дод 2'!P173</f>
        <v>0</v>
      </c>
      <c r="P137" s="75">
        <f>'дод 2'!Q173</f>
        <v>0</v>
      </c>
      <c r="Q137" s="75">
        <f>'дод 2'!R173</f>
        <v>0</v>
      </c>
      <c r="R137" s="75">
        <f>'дод 2'!S173</f>
        <v>0</v>
      </c>
      <c r="S137" s="75">
        <f>'дод 2'!T173</f>
        <v>0</v>
      </c>
      <c r="T137" s="75">
        <f>'дод 2'!U173</f>
        <v>0</v>
      </c>
      <c r="U137" s="75">
        <f>'дод 2'!V173</f>
        <v>0</v>
      </c>
      <c r="V137" s="75">
        <f>'дод 2'!W173</f>
        <v>0</v>
      </c>
      <c r="W137" s="75">
        <f>'дод 2'!X173</f>
        <v>0</v>
      </c>
      <c r="X137" s="75">
        <f>'дод 2'!Y173</f>
        <v>0</v>
      </c>
      <c r="Y137" s="168"/>
      <c r="Z137" s="75">
        <f>'дод 2'!AA173</f>
        <v>39029.42</v>
      </c>
      <c r="AA137" s="75">
        <f>'дод 2'!AB173</f>
        <v>400000</v>
      </c>
      <c r="AB137" s="221"/>
    </row>
    <row r="138" spans="1:30" s="106" customFormat="1" ht="45.75" customHeight="1" x14ac:dyDescent="0.25">
      <c r="A138" s="73" t="s">
        <v>59</v>
      </c>
      <c r="B138" s="73" t="s">
        <v>60</v>
      </c>
      <c r="C138" s="56" t="s">
        <v>111</v>
      </c>
      <c r="D138" s="75">
        <f>'дод 2'!E174</f>
        <v>2785000</v>
      </c>
      <c r="E138" s="75">
        <f>'дод 2'!F174</f>
        <v>0</v>
      </c>
      <c r="F138" s="75">
        <f>'дод 2'!G174</f>
        <v>0</v>
      </c>
      <c r="G138" s="75">
        <f>'дод 2'!H174</f>
        <v>0</v>
      </c>
      <c r="H138" s="75">
        <f>'дод 2'!I174</f>
        <v>2785000</v>
      </c>
      <c r="I138" s="75">
        <f>'дод 2'!J174</f>
        <v>508282.2</v>
      </c>
      <c r="J138" s="75">
        <f>'дод 2'!K174</f>
        <v>0</v>
      </c>
      <c r="K138" s="75">
        <f>'дод 2'!L174</f>
        <v>0</v>
      </c>
      <c r="L138" s="168">
        <f t="shared" si="17"/>
        <v>18.25070736086176</v>
      </c>
      <c r="M138" s="75">
        <f>'дод 2'!N174</f>
        <v>0</v>
      </c>
      <c r="N138" s="75">
        <f>'дод 2'!O174</f>
        <v>0</v>
      </c>
      <c r="O138" s="75">
        <f>'дод 2'!P174</f>
        <v>0</v>
      </c>
      <c r="P138" s="75">
        <f>'дод 2'!Q174</f>
        <v>0</v>
      </c>
      <c r="Q138" s="75">
        <f>'дод 2'!R174</f>
        <v>0</v>
      </c>
      <c r="R138" s="75">
        <f>'дод 2'!S174</f>
        <v>0</v>
      </c>
      <c r="S138" s="75">
        <f>'дод 2'!T174</f>
        <v>0</v>
      </c>
      <c r="T138" s="75">
        <f>'дод 2'!U174</f>
        <v>0</v>
      </c>
      <c r="U138" s="75">
        <f>'дод 2'!V174</f>
        <v>0</v>
      </c>
      <c r="V138" s="75">
        <f>'дод 2'!W174</f>
        <v>0</v>
      </c>
      <c r="W138" s="75">
        <f>'дод 2'!X174</f>
        <v>0</v>
      </c>
      <c r="X138" s="75">
        <f>'дод 2'!Y174</f>
        <v>0</v>
      </c>
      <c r="Y138" s="168"/>
      <c r="Z138" s="75">
        <f>'дод 2'!AA174</f>
        <v>508282.2</v>
      </c>
      <c r="AA138" s="75">
        <f>'дод 2'!AB174</f>
        <v>2785000</v>
      </c>
      <c r="AB138" s="221"/>
    </row>
    <row r="139" spans="1:30" ht="24" customHeight="1" x14ac:dyDescent="0.25">
      <c r="A139" s="73" t="s">
        <v>109</v>
      </c>
      <c r="B139" s="73" t="s">
        <v>60</v>
      </c>
      <c r="C139" s="56" t="s">
        <v>110</v>
      </c>
      <c r="D139" s="75">
        <f>'дод 2'!E175</f>
        <v>295423600</v>
      </c>
      <c r="E139" s="75">
        <f>'дод 2'!F175</f>
        <v>294223600</v>
      </c>
      <c r="F139" s="75">
        <f>'дод 2'!G175</f>
        <v>0</v>
      </c>
      <c r="G139" s="75">
        <f>'дод 2'!H175</f>
        <v>55200000</v>
      </c>
      <c r="H139" s="75">
        <f>'дод 2'!I175</f>
        <v>1200000</v>
      </c>
      <c r="I139" s="75">
        <f>'дод 2'!J175</f>
        <v>35411565.869999997</v>
      </c>
      <c r="J139" s="75">
        <f>'дод 2'!K175</f>
        <v>0</v>
      </c>
      <c r="K139" s="75">
        <f>'дод 2'!L175</f>
        <v>9272355.6999999993</v>
      </c>
      <c r="L139" s="168">
        <f t="shared" si="17"/>
        <v>11.986708533102973</v>
      </c>
      <c r="M139" s="75">
        <f>'дод 2'!N175</f>
        <v>0</v>
      </c>
      <c r="N139" s="75">
        <f>'дод 2'!O175</f>
        <v>0</v>
      </c>
      <c r="O139" s="75">
        <f>'дод 2'!P175</f>
        <v>0</v>
      </c>
      <c r="P139" s="75">
        <f>'дод 2'!Q175</f>
        <v>0</v>
      </c>
      <c r="Q139" s="75">
        <f>'дод 2'!R175</f>
        <v>0</v>
      </c>
      <c r="R139" s="75">
        <f>'дод 2'!S175</f>
        <v>0</v>
      </c>
      <c r="S139" s="75">
        <f>'дод 2'!T175</f>
        <v>0</v>
      </c>
      <c r="T139" s="75">
        <f>'дод 2'!U175</f>
        <v>0</v>
      </c>
      <c r="U139" s="75">
        <f>'дод 2'!V175</f>
        <v>0</v>
      </c>
      <c r="V139" s="75">
        <f>'дод 2'!W175</f>
        <v>0</v>
      </c>
      <c r="W139" s="75">
        <f>'дод 2'!X175</f>
        <v>0</v>
      </c>
      <c r="X139" s="75">
        <f>'дод 2'!Y175</f>
        <v>0</v>
      </c>
      <c r="Y139" s="168"/>
      <c r="Z139" s="75">
        <f>'дод 2'!AA175</f>
        <v>35411565.869999997</v>
      </c>
      <c r="AA139" s="75">
        <f>'дод 2'!AB175</f>
        <v>295423600</v>
      </c>
      <c r="AB139" s="221"/>
    </row>
    <row r="140" spans="1:30" ht="47.25" x14ac:dyDescent="0.25">
      <c r="A140" s="73">
        <v>6084</v>
      </c>
      <c r="B140" s="91" t="s">
        <v>58</v>
      </c>
      <c r="C140" s="56" t="s">
        <v>331</v>
      </c>
      <c r="D140" s="75">
        <f>'дод 2'!E206</f>
        <v>0</v>
      </c>
      <c r="E140" s="75">
        <f>'дод 2'!F206</f>
        <v>0</v>
      </c>
      <c r="F140" s="75">
        <f>'дод 2'!G206</f>
        <v>0</v>
      </c>
      <c r="G140" s="75">
        <f>'дод 2'!H206</f>
        <v>0</v>
      </c>
      <c r="H140" s="75">
        <f>'дод 2'!I206</f>
        <v>0</v>
      </c>
      <c r="I140" s="75">
        <f>'дод 2'!J206</f>
        <v>0</v>
      </c>
      <c r="J140" s="75">
        <f>'дод 2'!K206</f>
        <v>0</v>
      </c>
      <c r="K140" s="75">
        <f>'дод 2'!L206</f>
        <v>0</v>
      </c>
      <c r="L140" s="168"/>
      <c r="M140" s="75">
        <f>'дод 2'!N206</f>
        <v>342000</v>
      </c>
      <c r="N140" s="75">
        <f>'дод 2'!O206</f>
        <v>0</v>
      </c>
      <c r="O140" s="75">
        <f>'дод 2'!P206</f>
        <v>0</v>
      </c>
      <c r="P140" s="75">
        <f>'дод 2'!Q206</f>
        <v>0</v>
      </c>
      <c r="Q140" s="75">
        <f>'дод 2'!R206</f>
        <v>0</v>
      </c>
      <c r="R140" s="75">
        <f>'дод 2'!S206</f>
        <v>342000</v>
      </c>
      <c r="S140" s="75">
        <f>'дод 2'!T206</f>
        <v>0</v>
      </c>
      <c r="T140" s="75">
        <f>'дод 2'!U206</f>
        <v>0</v>
      </c>
      <c r="U140" s="75">
        <f>'дод 2'!V206</f>
        <v>0</v>
      </c>
      <c r="V140" s="75">
        <f>'дод 2'!W206</f>
        <v>0</v>
      </c>
      <c r="W140" s="75">
        <f>'дод 2'!X206</f>
        <v>0</v>
      </c>
      <c r="X140" s="75">
        <f>'дод 2'!Y206</f>
        <v>0</v>
      </c>
      <c r="Y140" s="168">
        <f t="shared" si="18"/>
        <v>0</v>
      </c>
      <c r="Z140" s="75">
        <f>'дод 2'!AA206</f>
        <v>0</v>
      </c>
      <c r="AA140" s="75">
        <f>'дод 2'!AB206</f>
        <v>342000</v>
      </c>
      <c r="AB140" s="221"/>
    </row>
    <row r="141" spans="1:30" ht="28.5" customHeight="1" x14ac:dyDescent="0.25">
      <c r="A141" s="73" t="s">
        <v>116</v>
      </c>
      <c r="B141" s="42" t="s">
        <v>242</v>
      </c>
      <c r="C141" s="56" t="s">
        <v>117</v>
      </c>
      <c r="D141" s="75">
        <f>'дод 2'!E176</f>
        <v>2752860</v>
      </c>
      <c r="E141" s="75">
        <f>'дод 2'!F176</f>
        <v>1590360</v>
      </c>
      <c r="F141" s="75">
        <f>'дод 2'!G176</f>
        <v>0</v>
      </c>
      <c r="G141" s="75">
        <f>'дод 2'!H176</f>
        <v>6000</v>
      </c>
      <c r="H141" s="75">
        <f>'дод 2'!I176</f>
        <v>1162500</v>
      </c>
      <c r="I141" s="75">
        <f>'дод 2'!J176</f>
        <v>25877.84</v>
      </c>
      <c r="J141" s="75">
        <f>'дод 2'!K176</f>
        <v>0</v>
      </c>
      <c r="K141" s="75">
        <f>'дод 2'!L176</f>
        <v>84.16</v>
      </c>
      <c r="L141" s="168">
        <f t="shared" si="17"/>
        <v>0.94003472751974304</v>
      </c>
      <c r="M141" s="75">
        <f>'дод 2'!N176</f>
        <v>0</v>
      </c>
      <c r="N141" s="75">
        <f>'дод 2'!O176</f>
        <v>0</v>
      </c>
      <c r="O141" s="75">
        <f>'дод 2'!P176</f>
        <v>0</v>
      </c>
      <c r="P141" s="75">
        <f>'дод 2'!Q176</f>
        <v>0</v>
      </c>
      <c r="Q141" s="75">
        <f>'дод 2'!R176</f>
        <v>0</v>
      </c>
      <c r="R141" s="75">
        <f>'дод 2'!S176</f>
        <v>0</v>
      </c>
      <c r="S141" s="75">
        <f>'дод 2'!T176</f>
        <v>805500</v>
      </c>
      <c r="T141" s="75">
        <f>'дод 2'!U176</f>
        <v>0</v>
      </c>
      <c r="U141" s="75">
        <f>'дод 2'!V176</f>
        <v>0</v>
      </c>
      <c r="V141" s="75">
        <f>'дод 2'!W176</f>
        <v>0</v>
      </c>
      <c r="W141" s="75">
        <f>'дод 2'!X176</f>
        <v>0</v>
      </c>
      <c r="X141" s="75">
        <f>'дод 2'!Y176</f>
        <v>805500</v>
      </c>
      <c r="Y141" s="168"/>
      <c r="Z141" s="75">
        <f>'дод 2'!AA176</f>
        <v>831377.84</v>
      </c>
      <c r="AA141" s="75">
        <f>'дод 2'!AB176</f>
        <v>2752860</v>
      </c>
      <c r="AB141" s="221"/>
    </row>
    <row r="142" spans="1:30" ht="25.5" customHeight="1" x14ac:dyDescent="0.25">
      <c r="A142" s="73">
        <v>6091</v>
      </c>
      <c r="B142" s="91" t="s">
        <v>242</v>
      </c>
      <c r="C142" s="74" t="s">
        <v>526</v>
      </c>
      <c r="D142" s="75">
        <f>'дод 2'!E177+'дод 2'!E207</f>
        <v>0</v>
      </c>
      <c r="E142" s="75">
        <f>'дод 2'!F177+'дод 2'!F207</f>
        <v>0</v>
      </c>
      <c r="F142" s="75">
        <f>'дод 2'!G177+'дод 2'!G207</f>
        <v>0</v>
      </c>
      <c r="G142" s="75">
        <f>'дод 2'!H177+'дод 2'!H207</f>
        <v>0</v>
      </c>
      <c r="H142" s="75">
        <f>'дод 2'!I177+'дод 2'!I207</f>
        <v>0</v>
      </c>
      <c r="I142" s="75">
        <f>'дод 2'!J177+'дод 2'!J207</f>
        <v>0</v>
      </c>
      <c r="J142" s="75">
        <f>'дод 2'!K177+'дод 2'!K207</f>
        <v>0</v>
      </c>
      <c r="K142" s="75">
        <f>'дод 2'!L177+'дод 2'!L207</f>
        <v>0</v>
      </c>
      <c r="L142" s="168"/>
      <c r="M142" s="75">
        <f>'дод 2'!N177+'дод 2'!N207</f>
        <v>16735928</v>
      </c>
      <c r="N142" s="75">
        <f>'дод 2'!O177+'дод 2'!O207</f>
        <v>16735928</v>
      </c>
      <c r="O142" s="75">
        <f>'дод 2'!P177+'дод 2'!P207</f>
        <v>0</v>
      </c>
      <c r="P142" s="75">
        <f>'дод 2'!Q177+'дод 2'!Q207</f>
        <v>0</v>
      </c>
      <c r="Q142" s="75">
        <f>'дод 2'!R177+'дод 2'!R207</f>
        <v>0</v>
      </c>
      <c r="R142" s="75">
        <f>'дод 2'!S177+'дод 2'!S207</f>
        <v>16735928</v>
      </c>
      <c r="S142" s="75">
        <f>'дод 2'!T177+'дод 2'!T207</f>
        <v>1213113.78</v>
      </c>
      <c r="T142" s="75">
        <f>'дод 2'!U177+'дод 2'!U207</f>
        <v>1213113.78</v>
      </c>
      <c r="U142" s="75">
        <f>'дод 2'!V177+'дод 2'!V207</f>
        <v>0</v>
      </c>
      <c r="V142" s="75">
        <f>'дод 2'!W177+'дод 2'!W207</f>
        <v>0</v>
      </c>
      <c r="W142" s="75">
        <f>'дод 2'!X177+'дод 2'!X207</f>
        <v>0</v>
      </c>
      <c r="X142" s="75">
        <f>'дод 2'!Y177+'дод 2'!Y207</f>
        <v>1213113.78</v>
      </c>
      <c r="Y142" s="168">
        <f t="shared" si="18"/>
        <v>7.2485599842446753</v>
      </c>
      <c r="Z142" s="75">
        <f>'дод 2'!AA177+'дод 2'!AA207</f>
        <v>1213113.78</v>
      </c>
      <c r="AA142" s="75">
        <f>'дод 2'!AB177+'дод 2'!AB207</f>
        <v>16735928</v>
      </c>
      <c r="AB142" s="221"/>
    </row>
    <row r="143" spans="1:30" ht="54" customHeight="1" x14ac:dyDescent="0.25">
      <c r="A143" s="73">
        <v>6092</v>
      </c>
      <c r="B143" s="91" t="s">
        <v>58</v>
      </c>
      <c r="C143" s="74" t="s">
        <v>385</v>
      </c>
      <c r="D143" s="75">
        <f>'дод 2'!E178</f>
        <v>4000000</v>
      </c>
      <c r="E143" s="75">
        <f>'дод 2'!F178</f>
        <v>4000000</v>
      </c>
      <c r="F143" s="75">
        <f>'дод 2'!G178</f>
        <v>0</v>
      </c>
      <c r="G143" s="75">
        <f>'дод 2'!H178</f>
        <v>0</v>
      </c>
      <c r="H143" s="75">
        <f>'дод 2'!I178</f>
        <v>0</v>
      </c>
      <c r="I143" s="75">
        <f>'дод 2'!J178</f>
        <v>0</v>
      </c>
      <c r="J143" s="75">
        <f>'дод 2'!K178</f>
        <v>0</v>
      </c>
      <c r="K143" s="75">
        <f>'дод 2'!L178</f>
        <v>0</v>
      </c>
      <c r="L143" s="168">
        <f t="shared" si="17"/>
        <v>0</v>
      </c>
      <c r="M143" s="75">
        <f>'дод 2'!N178</f>
        <v>16000000</v>
      </c>
      <c r="N143" s="75">
        <f>'дод 2'!O178</f>
        <v>16000000</v>
      </c>
      <c r="O143" s="75">
        <f>'дод 2'!P178</f>
        <v>0</v>
      </c>
      <c r="P143" s="75">
        <f>'дод 2'!Q178</f>
        <v>0</v>
      </c>
      <c r="Q143" s="75">
        <f>'дод 2'!R178</f>
        <v>0</v>
      </c>
      <c r="R143" s="75">
        <f>'дод 2'!S178</f>
        <v>16000000</v>
      </c>
      <c r="S143" s="75">
        <f>'дод 2'!T178</f>
        <v>494959.68</v>
      </c>
      <c r="T143" s="75">
        <f>'дод 2'!U178</f>
        <v>494959.68</v>
      </c>
      <c r="U143" s="75">
        <f>'дод 2'!V178</f>
        <v>0</v>
      </c>
      <c r="V143" s="75">
        <f>'дод 2'!W178</f>
        <v>0</v>
      </c>
      <c r="W143" s="75">
        <f>'дод 2'!X178</f>
        <v>0</v>
      </c>
      <c r="X143" s="75">
        <f>'дод 2'!Y178</f>
        <v>494959.68</v>
      </c>
      <c r="Y143" s="168">
        <f t="shared" si="18"/>
        <v>3.0934980000000003</v>
      </c>
      <c r="Z143" s="75">
        <f>'дод 2'!AA178</f>
        <v>494959.68</v>
      </c>
      <c r="AA143" s="75">
        <f>'дод 2'!AB178</f>
        <v>20000000</v>
      </c>
      <c r="AB143" s="221"/>
    </row>
    <row r="144" spans="1:30" s="117" customFormat="1" ht="70.349999999999994" customHeight="1" x14ac:dyDescent="0.25">
      <c r="A144" s="73">
        <v>6094</v>
      </c>
      <c r="B144" s="91" t="s">
        <v>60</v>
      </c>
      <c r="C144" s="74" t="s">
        <v>492</v>
      </c>
      <c r="D144" s="75">
        <f>'дод 2'!E179</f>
        <v>0</v>
      </c>
      <c r="E144" s="75">
        <f>'дод 2'!F179</f>
        <v>0</v>
      </c>
      <c r="F144" s="75">
        <f>'дод 2'!G179</f>
        <v>0</v>
      </c>
      <c r="G144" s="75">
        <f>'дод 2'!H179</f>
        <v>0</v>
      </c>
      <c r="H144" s="75">
        <f>'дод 2'!I179</f>
        <v>0</v>
      </c>
      <c r="I144" s="75">
        <f>'дод 2'!J179</f>
        <v>0</v>
      </c>
      <c r="J144" s="75">
        <f>'дод 2'!K179</f>
        <v>0</v>
      </c>
      <c r="K144" s="75">
        <f>'дод 2'!L179</f>
        <v>0</v>
      </c>
      <c r="L144" s="168"/>
      <c r="M144" s="75">
        <f>'дод 2'!N179</f>
        <v>89775000</v>
      </c>
      <c r="N144" s="75">
        <f>'дод 2'!O179</f>
        <v>89775000</v>
      </c>
      <c r="O144" s="75">
        <f>'дод 2'!P179</f>
        <v>0</v>
      </c>
      <c r="P144" s="75">
        <f>'дод 2'!Q179</f>
        <v>0</v>
      </c>
      <c r="Q144" s="75">
        <f>'дод 2'!R179</f>
        <v>0</v>
      </c>
      <c r="R144" s="75">
        <f>'дод 2'!S179</f>
        <v>89775000</v>
      </c>
      <c r="S144" s="75">
        <f>'дод 2'!T179</f>
        <v>0</v>
      </c>
      <c r="T144" s="75">
        <f>'дод 2'!U179</f>
        <v>0</v>
      </c>
      <c r="U144" s="75">
        <f>'дод 2'!V179</f>
        <v>0</v>
      </c>
      <c r="V144" s="75">
        <f>'дод 2'!W179</f>
        <v>0</v>
      </c>
      <c r="W144" s="75">
        <f>'дод 2'!X179</f>
        <v>0</v>
      </c>
      <c r="X144" s="75">
        <f>'дод 2'!Y179</f>
        <v>0</v>
      </c>
      <c r="Y144" s="168">
        <f t="shared" si="18"/>
        <v>0</v>
      </c>
      <c r="Z144" s="75">
        <f>'дод 2'!AA179</f>
        <v>0</v>
      </c>
      <c r="AA144" s="75">
        <f>'дод 2'!AB179</f>
        <v>89775000</v>
      </c>
      <c r="AB144" s="221"/>
    </row>
    <row r="145" spans="1:30" s="118" customFormat="1" ht="74.849999999999994" customHeight="1" x14ac:dyDescent="0.25">
      <c r="A145" s="79"/>
      <c r="B145" s="126"/>
      <c r="C145" s="127" t="s">
        <v>491</v>
      </c>
      <c r="D145" s="80">
        <f>'дод 2'!E180</f>
        <v>0</v>
      </c>
      <c r="E145" s="80">
        <f>'дод 2'!F180</f>
        <v>0</v>
      </c>
      <c r="F145" s="80">
        <f>'дод 2'!G180</f>
        <v>0</v>
      </c>
      <c r="G145" s="80">
        <f>'дод 2'!H180</f>
        <v>0</v>
      </c>
      <c r="H145" s="80">
        <f>'дод 2'!I180</f>
        <v>0</v>
      </c>
      <c r="I145" s="80">
        <f>'дод 2'!J180</f>
        <v>0</v>
      </c>
      <c r="J145" s="80">
        <f>'дод 2'!K180</f>
        <v>0</v>
      </c>
      <c r="K145" s="80">
        <f>'дод 2'!L180</f>
        <v>0</v>
      </c>
      <c r="L145" s="170"/>
      <c r="M145" s="80">
        <f>'дод 2'!N180</f>
        <v>89775000</v>
      </c>
      <c r="N145" s="80">
        <f>'дод 2'!O180</f>
        <v>89775000</v>
      </c>
      <c r="O145" s="80">
        <f>'дод 2'!P180</f>
        <v>0</v>
      </c>
      <c r="P145" s="80">
        <f>'дод 2'!Q180</f>
        <v>0</v>
      </c>
      <c r="Q145" s="80">
        <f>'дод 2'!R180</f>
        <v>0</v>
      </c>
      <c r="R145" s="80">
        <f>'дод 2'!S180</f>
        <v>89775000</v>
      </c>
      <c r="S145" s="80">
        <f>'дод 2'!T180</f>
        <v>0</v>
      </c>
      <c r="T145" s="80">
        <f>'дод 2'!U180</f>
        <v>0</v>
      </c>
      <c r="U145" s="80">
        <f>'дод 2'!V180</f>
        <v>0</v>
      </c>
      <c r="V145" s="80">
        <f>'дод 2'!W180</f>
        <v>0</v>
      </c>
      <c r="W145" s="80">
        <f>'дод 2'!X180</f>
        <v>0</v>
      </c>
      <c r="X145" s="80">
        <f>'дод 2'!Y180</f>
        <v>0</v>
      </c>
      <c r="Y145" s="170">
        <f t="shared" si="18"/>
        <v>0</v>
      </c>
      <c r="Z145" s="80">
        <f>'дод 2'!AA180</f>
        <v>0</v>
      </c>
      <c r="AA145" s="80">
        <f>'дод 2'!AB180</f>
        <v>89775000</v>
      </c>
      <c r="AB145" s="221"/>
    </row>
    <row r="146" spans="1:30" s="105" customFormat="1" ht="21.75" customHeight="1" x14ac:dyDescent="0.25">
      <c r="A146" s="76" t="s">
        <v>112</v>
      </c>
      <c r="B146" s="86"/>
      <c r="C146" s="87" t="s">
        <v>349</v>
      </c>
      <c r="D146" s="72">
        <f t="shared" ref="D146" si="29">D150+D152+D158+D163+D165</f>
        <v>108152358</v>
      </c>
      <c r="E146" s="72">
        <f t="shared" ref="E146:AA146" si="30">E150+E152+E158+E163+E165</f>
        <v>12197658</v>
      </c>
      <c r="F146" s="72">
        <f t="shared" si="30"/>
        <v>0</v>
      </c>
      <c r="G146" s="72">
        <f t="shared" si="30"/>
        <v>0</v>
      </c>
      <c r="H146" s="72">
        <f t="shared" si="30"/>
        <v>95954700</v>
      </c>
      <c r="I146" s="72">
        <f t="shared" si="30"/>
        <v>17548746.579999998</v>
      </c>
      <c r="J146" s="72">
        <f t="shared" si="30"/>
        <v>0</v>
      </c>
      <c r="K146" s="72">
        <f t="shared" si="30"/>
        <v>0</v>
      </c>
      <c r="L146" s="167">
        <f t="shared" ref="L146:L202" si="31">I146/D146*100</f>
        <v>16.225949118927208</v>
      </c>
      <c r="M146" s="72">
        <f t="shared" si="30"/>
        <v>340209816.88999999</v>
      </c>
      <c r="N146" s="72">
        <f t="shared" si="30"/>
        <v>332356570.38999999</v>
      </c>
      <c r="O146" s="72">
        <f t="shared" si="30"/>
        <v>1066000</v>
      </c>
      <c r="P146" s="72">
        <f t="shared" si="30"/>
        <v>0</v>
      </c>
      <c r="Q146" s="72">
        <f t="shared" si="30"/>
        <v>0</v>
      </c>
      <c r="R146" s="72">
        <f t="shared" si="30"/>
        <v>339143816.88999999</v>
      </c>
      <c r="S146" s="72">
        <f t="shared" si="30"/>
        <v>1062548.8800000001</v>
      </c>
      <c r="T146" s="72">
        <f t="shared" si="30"/>
        <v>862548.88000000012</v>
      </c>
      <c r="U146" s="72">
        <f t="shared" si="30"/>
        <v>200000</v>
      </c>
      <c r="V146" s="72">
        <f t="shared" si="30"/>
        <v>0</v>
      </c>
      <c r="W146" s="72">
        <f t="shared" si="30"/>
        <v>0</v>
      </c>
      <c r="X146" s="72">
        <f t="shared" si="30"/>
        <v>862548.88000000012</v>
      </c>
      <c r="Y146" s="167">
        <f t="shared" ref="Y146:Y203" si="32">S146/M146*100</f>
        <v>0.31232164013172903</v>
      </c>
      <c r="Z146" s="72">
        <f t="shared" si="30"/>
        <v>18611295.459999997</v>
      </c>
      <c r="AA146" s="72">
        <f t="shared" si="30"/>
        <v>448362174.88999999</v>
      </c>
      <c r="AB146" s="221">
        <v>7</v>
      </c>
      <c r="AD146" s="108">
        <f>E146+H146</f>
        <v>108152358</v>
      </c>
    </row>
    <row r="147" spans="1:30" s="105" customFormat="1" ht="110.25" x14ac:dyDescent="0.25">
      <c r="A147" s="76"/>
      <c r="B147" s="86"/>
      <c r="C147" s="38" t="s">
        <v>476</v>
      </c>
      <c r="D147" s="72">
        <f>D153</f>
        <v>0</v>
      </c>
      <c r="E147" s="72">
        <f t="shared" ref="E147:AA147" si="33">E153</f>
        <v>0</v>
      </c>
      <c r="F147" s="72">
        <f t="shared" si="33"/>
        <v>0</v>
      </c>
      <c r="G147" s="72">
        <f t="shared" si="33"/>
        <v>0</v>
      </c>
      <c r="H147" s="72">
        <f t="shared" si="33"/>
        <v>0</v>
      </c>
      <c r="I147" s="72">
        <f t="shared" si="33"/>
        <v>0</v>
      </c>
      <c r="J147" s="72">
        <f t="shared" si="33"/>
        <v>0</v>
      </c>
      <c r="K147" s="72">
        <f t="shared" si="33"/>
        <v>0</v>
      </c>
      <c r="L147" s="167"/>
      <c r="M147" s="72">
        <f t="shared" si="33"/>
        <v>6564069.9000000004</v>
      </c>
      <c r="N147" s="72">
        <f t="shared" si="33"/>
        <v>0</v>
      </c>
      <c r="O147" s="72">
        <f t="shared" si="33"/>
        <v>0</v>
      </c>
      <c r="P147" s="72">
        <f t="shared" si="33"/>
        <v>0</v>
      </c>
      <c r="Q147" s="72">
        <f t="shared" si="33"/>
        <v>0</v>
      </c>
      <c r="R147" s="72">
        <f t="shared" si="33"/>
        <v>6564069.9000000004</v>
      </c>
      <c r="S147" s="72">
        <f t="shared" si="33"/>
        <v>0</v>
      </c>
      <c r="T147" s="72">
        <f t="shared" si="33"/>
        <v>0</v>
      </c>
      <c r="U147" s="72">
        <f t="shared" si="33"/>
        <v>0</v>
      </c>
      <c r="V147" s="72">
        <f t="shared" si="33"/>
        <v>0</v>
      </c>
      <c r="W147" s="72">
        <f t="shared" si="33"/>
        <v>0</v>
      </c>
      <c r="X147" s="72">
        <f t="shared" si="33"/>
        <v>0</v>
      </c>
      <c r="Y147" s="167">
        <f t="shared" si="32"/>
        <v>0</v>
      </c>
      <c r="Z147" s="72">
        <f t="shared" si="33"/>
        <v>0</v>
      </c>
      <c r="AA147" s="72">
        <f t="shared" si="33"/>
        <v>6564069.9000000004</v>
      </c>
      <c r="AB147" s="221"/>
      <c r="AD147" s="108"/>
    </row>
    <row r="148" spans="1:30" s="109" customFormat="1" ht="18.75" customHeight="1" x14ac:dyDescent="0.25">
      <c r="A148" s="77"/>
      <c r="B148" s="77"/>
      <c r="C148" s="38" t="s">
        <v>289</v>
      </c>
      <c r="D148" s="78">
        <f>D166</f>
        <v>0</v>
      </c>
      <c r="E148" s="78">
        <f t="shared" ref="E148:AA148" si="34">E166</f>
        <v>0</v>
      </c>
      <c r="F148" s="78">
        <f t="shared" si="34"/>
        <v>0</v>
      </c>
      <c r="G148" s="78">
        <f t="shared" si="34"/>
        <v>0</v>
      </c>
      <c r="H148" s="78">
        <f t="shared" si="34"/>
        <v>0</v>
      </c>
      <c r="I148" s="78">
        <f t="shared" si="34"/>
        <v>0</v>
      </c>
      <c r="J148" s="78">
        <f t="shared" si="34"/>
        <v>0</v>
      </c>
      <c r="K148" s="78">
        <f t="shared" si="34"/>
        <v>0</v>
      </c>
      <c r="L148" s="169"/>
      <c r="M148" s="78">
        <f t="shared" si="34"/>
        <v>209249640</v>
      </c>
      <c r="N148" s="78">
        <f t="shared" si="34"/>
        <v>209249640</v>
      </c>
      <c r="O148" s="78">
        <f t="shared" si="34"/>
        <v>0</v>
      </c>
      <c r="P148" s="78">
        <f t="shared" si="34"/>
        <v>0</v>
      </c>
      <c r="Q148" s="78">
        <f t="shared" si="34"/>
        <v>0</v>
      </c>
      <c r="R148" s="78">
        <f t="shared" si="34"/>
        <v>209249640</v>
      </c>
      <c r="S148" s="78">
        <f t="shared" si="34"/>
        <v>0</v>
      </c>
      <c r="T148" s="78">
        <f t="shared" si="34"/>
        <v>0</v>
      </c>
      <c r="U148" s="78">
        <f t="shared" si="34"/>
        <v>0</v>
      </c>
      <c r="V148" s="78">
        <f t="shared" si="34"/>
        <v>0</v>
      </c>
      <c r="W148" s="78">
        <f t="shared" si="34"/>
        <v>0</v>
      </c>
      <c r="X148" s="78">
        <f t="shared" si="34"/>
        <v>0</v>
      </c>
      <c r="Y148" s="169">
        <f t="shared" si="32"/>
        <v>0</v>
      </c>
      <c r="Z148" s="78">
        <f t="shared" si="34"/>
        <v>0</v>
      </c>
      <c r="AA148" s="78">
        <f t="shared" si="34"/>
        <v>209249640</v>
      </c>
      <c r="AB148" s="221"/>
    </row>
    <row r="149" spans="1:30" s="109" customFormat="1" ht="63" x14ac:dyDescent="0.25">
      <c r="A149" s="77"/>
      <c r="B149" s="77"/>
      <c r="C149" s="38" t="str">
        <f>C167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49" s="78">
        <f>D167</f>
        <v>0</v>
      </c>
      <c r="E149" s="78">
        <f t="shared" ref="E149:AA149" si="35">E167</f>
        <v>0</v>
      </c>
      <c r="F149" s="78">
        <f t="shared" si="35"/>
        <v>0</v>
      </c>
      <c r="G149" s="78">
        <f t="shared" si="35"/>
        <v>0</v>
      </c>
      <c r="H149" s="78">
        <f t="shared" si="35"/>
        <v>0</v>
      </c>
      <c r="I149" s="78">
        <f t="shared" si="35"/>
        <v>0</v>
      </c>
      <c r="J149" s="78">
        <f t="shared" si="35"/>
        <v>0</v>
      </c>
      <c r="K149" s="78">
        <f t="shared" si="35"/>
        <v>0</v>
      </c>
      <c r="L149" s="169"/>
      <c r="M149" s="78">
        <f t="shared" si="35"/>
        <v>42813357.390000001</v>
      </c>
      <c r="N149" s="78">
        <f t="shared" si="35"/>
        <v>42813357.390000001</v>
      </c>
      <c r="O149" s="78">
        <f t="shared" si="35"/>
        <v>0</v>
      </c>
      <c r="P149" s="78">
        <f t="shared" si="35"/>
        <v>0</v>
      </c>
      <c r="Q149" s="78">
        <f t="shared" si="35"/>
        <v>0</v>
      </c>
      <c r="R149" s="78">
        <f t="shared" si="35"/>
        <v>42813357.390000001</v>
      </c>
      <c r="S149" s="78">
        <f t="shared" si="35"/>
        <v>0</v>
      </c>
      <c r="T149" s="78">
        <f t="shared" si="35"/>
        <v>0</v>
      </c>
      <c r="U149" s="78">
        <f t="shared" si="35"/>
        <v>0</v>
      </c>
      <c r="V149" s="78">
        <f t="shared" si="35"/>
        <v>0</v>
      </c>
      <c r="W149" s="78">
        <f t="shared" si="35"/>
        <v>0</v>
      </c>
      <c r="X149" s="78">
        <f t="shared" si="35"/>
        <v>0</v>
      </c>
      <c r="Y149" s="169">
        <f t="shared" si="32"/>
        <v>0</v>
      </c>
      <c r="Z149" s="78">
        <f t="shared" si="35"/>
        <v>0</v>
      </c>
      <c r="AA149" s="78">
        <f t="shared" si="35"/>
        <v>42813357.390000001</v>
      </c>
      <c r="AB149" s="221"/>
    </row>
    <row r="150" spans="1:30" s="105" customFormat="1" x14ac:dyDescent="0.25">
      <c r="A150" s="76" t="s">
        <v>118</v>
      </c>
      <c r="B150" s="86"/>
      <c r="C150" s="87" t="s">
        <v>119</v>
      </c>
      <c r="D150" s="72">
        <f t="shared" ref="D150:AA150" si="36">D151</f>
        <v>1400000</v>
      </c>
      <c r="E150" s="72">
        <f t="shared" si="36"/>
        <v>1400000</v>
      </c>
      <c r="F150" s="72">
        <f t="shared" si="36"/>
        <v>0</v>
      </c>
      <c r="G150" s="72">
        <f t="shared" si="36"/>
        <v>0</v>
      </c>
      <c r="H150" s="72">
        <f t="shared" si="36"/>
        <v>0</v>
      </c>
      <c r="I150" s="72">
        <f t="shared" si="36"/>
        <v>0</v>
      </c>
      <c r="J150" s="72">
        <f t="shared" si="36"/>
        <v>0</v>
      </c>
      <c r="K150" s="72">
        <f t="shared" si="36"/>
        <v>0</v>
      </c>
      <c r="L150" s="167">
        <f t="shared" si="31"/>
        <v>0</v>
      </c>
      <c r="M150" s="72">
        <f t="shared" si="36"/>
        <v>0</v>
      </c>
      <c r="N150" s="72">
        <f t="shared" si="36"/>
        <v>0</v>
      </c>
      <c r="O150" s="72">
        <f t="shared" si="36"/>
        <v>0</v>
      </c>
      <c r="P150" s="72">
        <f t="shared" si="36"/>
        <v>0</v>
      </c>
      <c r="Q150" s="72">
        <f t="shared" si="36"/>
        <v>0</v>
      </c>
      <c r="R150" s="72">
        <f t="shared" si="36"/>
        <v>0</v>
      </c>
      <c r="S150" s="72">
        <f t="shared" si="36"/>
        <v>0</v>
      </c>
      <c r="T150" s="72">
        <f t="shared" si="36"/>
        <v>0</v>
      </c>
      <c r="U150" s="72">
        <f t="shared" si="36"/>
        <v>0</v>
      </c>
      <c r="V150" s="72">
        <f t="shared" si="36"/>
        <v>0</v>
      </c>
      <c r="W150" s="72">
        <f t="shared" si="36"/>
        <v>0</v>
      </c>
      <c r="X150" s="72">
        <f t="shared" si="36"/>
        <v>0</v>
      </c>
      <c r="Y150" s="167"/>
      <c r="Z150" s="72">
        <f t="shared" si="36"/>
        <v>0</v>
      </c>
      <c r="AA150" s="72">
        <f t="shared" si="36"/>
        <v>1400000</v>
      </c>
      <c r="AB150" s="221"/>
    </row>
    <row r="151" spans="1:30" ht="16.5" customHeight="1" x14ac:dyDescent="0.25">
      <c r="A151" s="73" t="s">
        <v>113</v>
      </c>
      <c r="B151" s="73" t="s">
        <v>71</v>
      </c>
      <c r="C151" s="56" t="s">
        <v>269</v>
      </c>
      <c r="D151" s="75">
        <f>'дод 2'!E226</f>
        <v>1400000</v>
      </c>
      <c r="E151" s="75">
        <f>'дод 2'!F226</f>
        <v>1400000</v>
      </c>
      <c r="F151" s="75">
        <f>'дод 2'!G226</f>
        <v>0</v>
      </c>
      <c r="G151" s="75">
        <f>'дод 2'!H226</f>
        <v>0</v>
      </c>
      <c r="H151" s="75">
        <f>'дод 2'!I226</f>
        <v>0</v>
      </c>
      <c r="I151" s="75">
        <f>'дод 2'!J226</f>
        <v>0</v>
      </c>
      <c r="J151" s="75">
        <f>'дод 2'!K226</f>
        <v>0</v>
      </c>
      <c r="K151" s="75">
        <f>'дод 2'!L226</f>
        <v>0</v>
      </c>
      <c r="L151" s="168">
        <f t="shared" si="31"/>
        <v>0</v>
      </c>
      <c r="M151" s="75">
        <f>'дод 2'!N226</f>
        <v>0</v>
      </c>
      <c r="N151" s="75">
        <f>'дод 2'!O226</f>
        <v>0</v>
      </c>
      <c r="O151" s="75">
        <f>'дод 2'!P226</f>
        <v>0</v>
      </c>
      <c r="P151" s="75">
        <f>'дод 2'!Q226</f>
        <v>0</v>
      </c>
      <c r="Q151" s="75">
        <f>'дод 2'!R226</f>
        <v>0</v>
      </c>
      <c r="R151" s="75">
        <f>'дод 2'!S226</f>
        <v>0</v>
      </c>
      <c r="S151" s="75">
        <f>'дод 2'!T226</f>
        <v>0</v>
      </c>
      <c r="T151" s="75">
        <f>'дод 2'!U226</f>
        <v>0</v>
      </c>
      <c r="U151" s="75">
        <f>'дод 2'!V226</f>
        <v>0</v>
      </c>
      <c r="V151" s="75">
        <f>'дод 2'!W226</f>
        <v>0</v>
      </c>
      <c r="W151" s="75">
        <f>'дод 2'!X226</f>
        <v>0</v>
      </c>
      <c r="X151" s="75">
        <f>'дод 2'!Y226</f>
        <v>0</v>
      </c>
      <c r="Y151" s="168"/>
      <c r="Z151" s="75">
        <f>'дод 2'!AA226</f>
        <v>0</v>
      </c>
      <c r="AA151" s="75">
        <f>'дод 2'!AB226</f>
        <v>1400000</v>
      </c>
      <c r="AB151" s="221"/>
    </row>
    <row r="152" spans="1:30" s="105" customFormat="1" ht="44.25" customHeight="1" x14ac:dyDescent="0.25">
      <c r="A152" s="76" t="s">
        <v>84</v>
      </c>
      <c r="B152" s="76"/>
      <c r="C152" s="110" t="s">
        <v>463</v>
      </c>
      <c r="D152" s="72">
        <f>D154+D155+D156</f>
        <v>46000</v>
      </c>
      <c r="E152" s="72">
        <f t="shared" ref="E152:AA152" si="37">E154+E155+E156</f>
        <v>46000</v>
      </c>
      <c r="F152" s="72">
        <f t="shared" si="37"/>
        <v>0</v>
      </c>
      <c r="G152" s="72">
        <f t="shared" si="37"/>
        <v>0</v>
      </c>
      <c r="H152" s="72">
        <f t="shared" si="37"/>
        <v>0</v>
      </c>
      <c r="I152" s="72">
        <f t="shared" si="37"/>
        <v>46000</v>
      </c>
      <c r="J152" s="72">
        <f t="shared" si="37"/>
        <v>0</v>
      </c>
      <c r="K152" s="72">
        <f t="shared" si="37"/>
        <v>0</v>
      </c>
      <c r="L152" s="167">
        <f t="shared" si="31"/>
        <v>100</v>
      </c>
      <c r="M152" s="72">
        <f t="shared" si="37"/>
        <v>25738572.899999999</v>
      </c>
      <c r="N152" s="72">
        <f t="shared" si="37"/>
        <v>19174503</v>
      </c>
      <c r="O152" s="72">
        <f t="shared" si="37"/>
        <v>0</v>
      </c>
      <c r="P152" s="72">
        <f t="shared" si="37"/>
        <v>0</v>
      </c>
      <c r="Q152" s="72">
        <f t="shared" si="37"/>
        <v>0</v>
      </c>
      <c r="R152" s="72">
        <f t="shared" si="37"/>
        <v>25738572.899999999</v>
      </c>
      <c r="S152" s="72">
        <f t="shared" si="37"/>
        <v>303450.56</v>
      </c>
      <c r="T152" s="72">
        <f t="shared" si="37"/>
        <v>303450.56</v>
      </c>
      <c r="U152" s="72">
        <f t="shared" si="37"/>
        <v>0</v>
      </c>
      <c r="V152" s="72">
        <f t="shared" si="37"/>
        <v>0</v>
      </c>
      <c r="W152" s="72">
        <f t="shared" si="37"/>
        <v>0</v>
      </c>
      <c r="X152" s="72">
        <f t="shared" si="37"/>
        <v>303450.56</v>
      </c>
      <c r="Y152" s="167">
        <f t="shared" si="32"/>
        <v>1.1789719701203791</v>
      </c>
      <c r="Z152" s="72">
        <f t="shared" si="37"/>
        <v>349450.56</v>
      </c>
      <c r="AA152" s="72">
        <f t="shared" si="37"/>
        <v>25784572.899999999</v>
      </c>
      <c r="AB152" s="221"/>
    </row>
    <row r="153" spans="1:30" s="109" customFormat="1" ht="110.25" x14ac:dyDescent="0.25">
      <c r="A153" s="77"/>
      <c r="B153" s="77"/>
      <c r="C153" s="38" t="s">
        <v>476</v>
      </c>
      <c r="D153" s="78">
        <f>D157</f>
        <v>0</v>
      </c>
      <c r="E153" s="78">
        <f t="shared" ref="E153:AA153" si="38">E157</f>
        <v>0</v>
      </c>
      <c r="F153" s="78">
        <f t="shared" si="38"/>
        <v>0</v>
      </c>
      <c r="G153" s="78">
        <f t="shared" si="38"/>
        <v>0</v>
      </c>
      <c r="H153" s="78">
        <f t="shared" si="38"/>
        <v>0</v>
      </c>
      <c r="I153" s="78">
        <f t="shared" si="38"/>
        <v>0</v>
      </c>
      <c r="J153" s="78">
        <f t="shared" si="38"/>
        <v>0</v>
      </c>
      <c r="K153" s="78">
        <f t="shared" si="38"/>
        <v>0</v>
      </c>
      <c r="L153" s="169"/>
      <c r="M153" s="78">
        <f t="shared" si="38"/>
        <v>6564069.9000000004</v>
      </c>
      <c r="N153" s="78">
        <f t="shared" si="38"/>
        <v>0</v>
      </c>
      <c r="O153" s="78">
        <f t="shared" si="38"/>
        <v>0</v>
      </c>
      <c r="P153" s="78">
        <f t="shared" si="38"/>
        <v>0</v>
      </c>
      <c r="Q153" s="78">
        <f t="shared" si="38"/>
        <v>0</v>
      </c>
      <c r="R153" s="78">
        <f t="shared" si="38"/>
        <v>6564069.9000000004</v>
      </c>
      <c r="S153" s="78">
        <f t="shared" si="38"/>
        <v>0</v>
      </c>
      <c r="T153" s="78">
        <f t="shared" si="38"/>
        <v>0</v>
      </c>
      <c r="U153" s="78">
        <f t="shared" si="38"/>
        <v>0</v>
      </c>
      <c r="V153" s="78">
        <f t="shared" si="38"/>
        <v>0</v>
      </c>
      <c r="W153" s="78">
        <f t="shared" si="38"/>
        <v>0</v>
      </c>
      <c r="X153" s="78">
        <f t="shared" si="38"/>
        <v>0</v>
      </c>
      <c r="Y153" s="169">
        <f t="shared" si="32"/>
        <v>0</v>
      </c>
      <c r="Z153" s="78">
        <f t="shared" si="38"/>
        <v>0</v>
      </c>
      <c r="AA153" s="78">
        <f t="shared" si="38"/>
        <v>6564069.9000000004</v>
      </c>
      <c r="AB153" s="221"/>
    </row>
    <row r="154" spans="1:30" ht="30.75" customHeight="1" x14ac:dyDescent="0.25">
      <c r="A154" s="73" t="s">
        <v>221</v>
      </c>
      <c r="B154" s="73" t="s">
        <v>94</v>
      </c>
      <c r="C154" s="74" t="s">
        <v>465</v>
      </c>
      <c r="D154" s="75">
        <f>'дод 2'!E181+'дод 2'!E208</f>
        <v>0</v>
      </c>
      <c r="E154" s="75">
        <f>'дод 2'!F181+'дод 2'!F208</f>
        <v>0</v>
      </c>
      <c r="F154" s="75">
        <f>'дод 2'!G181+'дод 2'!G208</f>
        <v>0</v>
      </c>
      <c r="G154" s="75">
        <f>'дод 2'!H181+'дод 2'!H208</f>
        <v>0</v>
      </c>
      <c r="H154" s="75">
        <f>'дод 2'!I181+'дод 2'!I208</f>
        <v>0</v>
      </c>
      <c r="I154" s="75">
        <f>'дод 2'!J181+'дод 2'!J208</f>
        <v>0</v>
      </c>
      <c r="J154" s="75">
        <f>'дод 2'!K181+'дод 2'!K208</f>
        <v>0</v>
      </c>
      <c r="K154" s="75">
        <f>'дод 2'!L181+'дод 2'!L208</f>
        <v>0</v>
      </c>
      <c r="L154" s="168"/>
      <c r="M154" s="75">
        <f>'дод 2'!N181+'дод 2'!N208</f>
        <v>19074503</v>
      </c>
      <c r="N154" s="75">
        <f>'дод 2'!O181+'дод 2'!O208</f>
        <v>19074503</v>
      </c>
      <c r="O154" s="75">
        <f>'дод 2'!P181+'дод 2'!P208</f>
        <v>0</v>
      </c>
      <c r="P154" s="75">
        <f>'дод 2'!Q181+'дод 2'!Q208</f>
        <v>0</v>
      </c>
      <c r="Q154" s="75">
        <f>'дод 2'!R181+'дод 2'!R208</f>
        <v>0</v>
      </c>
      <c r="R154" s="75">
        <f>'дод 2'!S181+'дод 2'!S208</f>
        <v>19074503</v>
      </c>
      <c r="S154" s="75">
        <f>'дод 2'!T181+'дод 2'!T208</f>
        <v>287336</v>
      </c>
      <c r="T154" s="75">
        <f>'дод 2'!U181+'дод 2'!U208</f>
        <v>287336</v>
      </c>
      <c r="U154" s="75">
        <f>'дод 2'!V181+'дод 2'!V208</f>
        <v>0</v>
      </c>
      <c r="V154" s="75">
        <f>'дод 2'!W181+'дод 2'!W208</f>
        <v>0</v>
      </c>
      <c r="W154" s="75">
        <f>'дод 2'!X181+'дод 2'!X208</f>
        <v>0</v>
      </c>
      <c r="X154" s="75">
        <f>'дод 2'!Y181+'дод 2'!Y208</f>
        <v>287336</v>
      </c>
      <c r="Y154" s="168">
        <f t="shared" si="32"/>
        <v>1.5063878728583386</v>
      </c>
      <c r="Z154" s="75">
        <f>'дод 2'!AA181+'дод 2'!AA208</f>
        <v>287336</v>
      </c>
      <c r="AA154" s="75">
        <f>'дод 2'!AB181+'дод 2'!AB208</f>
        <v>19074503</v>
      </c>
      <c r="AB154" s="221"/>
    </row>
    <row r="155" spans="1:30" s="106" customFormat="1" ht="31.5" customHeight="1" x14ac:dyDescent="0.25">
      <c r="A155" s="73">
        <v>7370</v>
      </c>
      <c r="B155" s="41" t="s">
        <v>70</v>
      </c>
      <c r="C155" s="43" t="s">
        <v>293</v>
      </c>
      <c r="D155" s="75">
        <f>'дод 2'!E227</f>
        <v>46000</v>
      </c>
      <c r="E155" s="75">
        <f>'дод 2'!F227</f>
        <v>46000</v>
      </c>
      <c r="F155" s="75">
        <f>'дод 2'!G227</f>
        <v>0</v>
      </c>
      <c r="G155" s="75">
        <f>'дод 2'!H227</f>
        <v>0</v>
      </c>
      <c r="H155" s="75">
        <f>'дод 2'!I227</f>
        <v>0</v>
      </c>
      <c r="I155" s="75">
        <f>'дод 2'!J227</f>
        <v>46000</v>
      </c>
      <c r="J155" s="75">
        <f>'дод 2'!K227</f>
        <v>0</v>
      </c>
      <c r="K155" s="75">
        <f>'дод 2'!L227</f>
        <v>0</v>
      </c>
      <c r="L155" s="168">
        <f t="shared" si="31"/>
        <v>100</v>
      </c>
      <c r="M155" s="75">
        <f>'дод 2'!N227</f>
        <v>100000</v>
      </c>
      <c r="N155" s="75">
        <f>'дод 2'!O227</f>
        <v>100000</v>
      </c>
      <c r="O155" s="75">
        <f>'дод 2'!P227</f>
        <v>0</v>
      </c>
      <c r="P155" s="75">
        <f>'дод 2'!Q227</f>
        <v>0</v>
      </c>
      <c r="Q155" s="75">
        <f>'дод 2'!R227</f>
        <v>0</v>
      </c>
      <c r="R155" s="75">
        <f>'дод 2'!S227</f>
        <v>100000</v>
      </c>
      <c r="S155" s="75">
        <f>'дод 2'!T227</f>
        <v>16114.56</v>
      </c>
      <c r="T155" s="75">
        <f>'дод 2'!U227</f>
        <v>16114.56</v>
      </c>
      <c r="U155" s="75">
        <f>'дод 2'!V227</f>
        <v>0</v>
      </c>
      <c r="V155" s="75">
        <f>'дод 2'!W227</f>
        <v>0</v>
      </c>
      <c r="W155" s="75">
        <f>'дод 2'!X227</f>
        <v>0</v>
      </c>
      <c r="X155" s="75">
        <f>'дод 2'!Y227</f>
        <v>16114.56</v>
      </c>
      <c r="Y155" s="168">
        <f t="shared" si="32"/>
        <v>16.114560000000001</v>
      </c>
      <c r="Z155" s="75">
        <f>'дод 2'!AA227</f>
        <v>62114.559999999998</v>
      </c>
      <c r="AA155" s="75">
        <f>'дод 2'!AB227</f>
        <v>146000</v>
      </c>
      <c r="AB155" s="221"/>
    </row>
    <row r="156" spans="1:30" s="106" customFormat="1" ht="78.75" x14ac:dyDescent="0.25">
      <c r="A156" s="73">
        <v>7384</v>
      </c>
      <c r="B156" s="41" t="s">
        <v>70</v>
      </c>
      <c r="C156" s="43" t="s">
        <v>475</v>
      </c>
      <c r="D156" s="75">
        <f>'дод 2'!E182</f>
        <v>0</v>
      </c>
      <c r="E156" s="75">
        <f>'дод 2'!F182</f>
        <v>0</v>
      </c>
      <c r="F156" s="75">
        <f>'дод 2'!G182</f>
        <v>0</v>
      </c>
      <c r="G156" s="75">
        <f>'дод 2'!H182</f>
        <v>0</v>
      </c>
      <c r="H156" s="75">
        <f>'дод 2'!I182</f>
        <v>0</v>
      </c>
      <c r="I156" s="75">
        <f>'дод 2'!J182</f>
        <v>0</v>
      </c>
      <c r="J156" s="75">
        <f>'дод 2'!K182</f>
        <v>0</v>
      </c>
      <c r="K156" s="75">
        <f>'дод 2'!L182</f>
        <v>0</v>
      </c>
      <c r="L156" s="168"/>
      <c r="M156" s="75">
        <f>'дод 2'!N182</f>
        <v>6564069.9000000004</v>
      </c>
      <c r="N156" s="75">
        <f>'дод 2'!O182</f>
        <v>0</v>
      </c>
      <c r="O156" s="75">
        <f>'дод 2'!P182</f>
        <v>0</v>
      </c>
      <c r="P156" s="75">
        <f>'дод 2'!Q182</f>
        <v>0</v>
      </c>
      <c r="Q156" s="75">
        <f>'дод 2'!R182</f>
        <v>0</v>
      </c>
      <c r="R156" s="75">
        <f>'дод 2'!S182</f>
        <v>6564069.9000000004</v>
      </c>
      <c r="S156" s="75">
        <f>'дод 2'!T182</f>
        <v>0</v>
      </c>
      <c r="T156" s="75">
        <f>'дод 2'!U182</f>
        <v>0</v>
      </c>
      <c r="U156" s="75">
        <f>'дод 2'!V182</f>
        <v>0</v>
      </c>
      <c r="V156" s="75">
        <f>'дод 2'!W182</f>
        <v>0</v>
      </c>
      <c r="W156" s="75">
        <f>'дод 2'!X182</f>
        <v>0</v>
      </c>
      <c r="X156" s="75">
        <f>'дод 2'!Y182</f>
        <v>0</v>
      </c>
      <c r="Y156" s="168">
        <f t="shared" si="32"/>
        <v>0</v>
      </c>
      <c r="Z156" s="75">
        <f>'дод 2'!AA182</f>
        <v>0</v>
      </c>
      <c r="AA156" s="75">
        <f>'дод 2'!AB182</f>
        <v>6564069.9000000004</v>
      </c>
      <c r="AB156" s="221"/>
    </row>
    <row r="157" spans="1:30" s="106" customFormat="1" ht="110.25" x14ac:dyDescent="0.25">
      <c r="A157" s="79"/>
      <c r="B157" s="50"/>
      <c r="C157" s="55" t="s">
        <v>476</v>
      </c>
      <c r="D157" s="80">
        <f>'дод 2'!E183</f>
        <v>0</v>
      </c>
      <c r="E157" s="80">
        <f>'дод 2'!F183</f>
        <v>0</v>
      </c>
      <c r="F157" s="80">
        <f>'дод 2'!G183</f>
        <v>0</v>
      </c>
      <c r="G157" s="80">
        <f>'дод 2'!H183</f>
        <v>0</v>
      </c>
      <c r="H157" s="80">
        <f>'дод 2'!I183</f>
        <v>0</v>
      </c>
      <c r="I157" s="80">
        <f>'дод 2'!J183</f>
        <v>0</v>
      </c>
      <c r="J157" s="80">
        <f>'дод 2'!K183</f>
        <v>0</v>
      </c>
      <c r="K157" s="80">
        <f>'дод 2'!L183</f>
        <v>0</v>
      </c>
      <c r="L157" s="170"/>
      <c r="M157" s="80">
        <f>'дод 2'!N183</f>
        <v>6564069.9000000004</v>
      </c>
      <c r="N157" s="80">
        <f>'дод 2'!O183</f>
        <v>0</v>
      </c>
      <c r="O157" s="80">
        <f>'дод 2'!P183</f>
        <v>0</v>
      </c>
      <c r="P157" s="80">
        <f>'дод 2'!Q183</f>
        <v>0</v>
      </c>
      <c r="Q157" s="80">
        <f>'дод 2'!R183</f>
        <v>0</v>
      </c>
      <c r="R157" s="80">
        <f>'дод 2'!S183</f>
        <v>6564069.9000000004</v>
      </c>
      <c r="S157" s="80">
        <f>'дод 2'!T183</f>
        <v>0</v>
      </c>
      <c r="T157" s="80">
        <f>'дод 2'!U183</f>
        <v>0</v>
      </c>
      <c r="U157" s="80">
        <f>'дод 2'!V183</f>
        <v>0</v>
      </c>
      <c r="V157" s="80">
        <f>'дод 2'!W183</f>
        <v>0</v>
      </c>
      <c r="W157" s="80">
        <f>'дод 2'!X183</f>
        <v>0</v>
      </c>
      <c r="X157" s="80">
        <f>'дод 2'!Y183</f>
        <v>0</v>
      </c>
      <c r="Y157" s="170">
        <f t="shared" si="32"/>
        <v>0</v>
      </c>
      <c r="Z157" s="80">
        <f>'дод 2'!AA183</f>
        <v>0</v>
      </c>
      <c r="AA157" s="80">
        <f>'дод 2'!AB183</f>
        <v>6564069.9000000004</v>
      </c>
      <c r="AB157" s="221"/>
    </row>
    <row r="158" spans="1:30" s="105" customFormat="1" ht="34.5" customHeight="1" x14ac:dyDescent="0.25">
      <c r="A158" s="76" t="s">
        <v>73</v>
      </c>
      <c r="B158" s="86"/>
      <c r="C158" s="87" t="s">
        <v>328</v>
      </c>
      <c r="D158" s="72">
        <f>D159+D161+D162+D160</f>
        <v>95043700</v>
      </c>
      <c r="E158" s="72">
        <f t="shared" ref="E158:AA158" si="39">E159+E161+E162+E160</f>
        <v>984000</v>
      </c>
      <c r="F158" s="72">
        <f t="shared" si="39"/>
        <v>0</v>
      </c>
      <c r="G158" s="72">
        <f t="shared" si="39"/>
        <v>0</v>
      </c>
      <c r="H158" s="72">
        <f t="shared" si="39"/>
        <v>94059700</v>
      </c>
      <c r="I158" s="72">
        <f t="shared" si="39"/>
        <v>17263674</v>
      </c>
      <c r="J158" s="72">
        <f t="shared" si="39"/>
        <v>0</v>
      </c>
      <c r="K158" s="72">
        <f t="shared" si="39"/>
        <v>0</v>
      </c>
      <c r="L158" s="167">
        <f t="shared" si="31"/>
        <v>18.163933011867172</v>
      </c>
      <c r="M158" s="72">
        <f t="shared" si="39"/>
        <v>0</v>
      </c>
      <c r="N158" s="72">
        <f t="shared" si="39"/>
        <v>0</v>
      </c>
      <c r="O158" s="72">
        <f t="shared" si="39"/>
        <v>0</v>
      </c>
      <c r="P158" s="72">
        <f t="shared" si="39"/>
        <v>0</v>
      </c>
      <c r="Q158" s="72">
        <f t="shared" si="39"/>
        <v>0</v>
      </c>
      <c r="R158" s="72">
        <f t="shared" si="39"/>
        <v>0</v>
      </c>
      <c r="S158" s="72">
        <f t="shared" si="39"/>
        <v>0</v>
      </c>
      <c r="T158" s="72">
        <f t="shared" si="39"/>
        <v>0</v>
      </c>
      <c r="U158" s="72">
        <f t="shared" si="39"/>
        <v>0</v>
      </c>
      <c r="V158" s="72">
        <f t="shared" si="39"/>
        <v>0</v>
      </c>
      <c r="W158" s="72">
        <f t="shared" si="39"/>
        <v>0</v>
      </c>
      <c r="X158" s="72">
        <f t="shared" si="39"/>
        <v>0</v>
      </c>
      <c r="Y158" s="167"/>
      <c r="Z158" s="72">
        <f t="shared" si="39"/>
        <v>17263674</v>
      </c>
      <c r="AA158" s="72">
        <f t="shared" si="39"/>
        <v>95043700</v>
      </c>
      <c r="AB158" s="221"/>
    </row>
    <row r="159" spans="1:30" s="106" customFormat="1" ht="18.75" customHeight="1" x14ac:dyDescent="0.25">
      <c r="A159" s="73" t="s">
        <v>1</v>
      </c>
      <c r="B159" s="73" t="s">
        <v>72</v>
      </c>
      <c r="C159" s="56" t="s">
        <v>30</v>
      </c>
      <c r="D159" s="75">
        <f>'дод 2'!E184</f>
        <v>29059700</v>
      </c>
      <c r="E159" s="75">
        <f>'дод 2'!F184</f>
        <v>0</v>
      </c>
      <c r="F159" s="75">
        <f>'дод 2'!G184</f>
        <v>0</v>
      </c>
      <c r="G159" s="75">
        <f>'дод 2'!H184</f>
        <v>0</v>
      </c>
      <c r="H159" s="75">
        <f>'дод 2'!I184</f>
        <v>29059700</v>
      </c>
      <c r="I159" s="75">
        <f>'дод 2'!J184</f>
        <v>5715758</v>
      </c>
      <c r="J159" s="75">
        <f>'дод 2'!K184</f>
        <v>0</v>
      </c>
      <c r="K159" s="75">
        <f>'дод 2'!L184</f>
        <v>0</v>
      </c>
      <c r="L159" s="168">
        <f t="shared" si="31"/>
        <v>19.669019294762162</v>
      </c>
      <c r="M159" s="75">
        <f>'дод 2'!N184</f>
        <v>0</v>
      </c>
      <c r="N159" s="75">
        <f>'дод 2'!O184</f>
        <v>0</v>
      </c>
      <c r="O159" s="75">
        <f>'дод 2'!P184</f>
        <v>0</v>
      </c>
      <c r="P159" s="75">
        <f>'дод 2'!Q184</f>
        <v>0</v>
      </c>
      <c r="Q159" s="75">
        <f>'дод 2'!R184</f>
        <v>0</v>
      </c>
      <c r="R159" s="75">
        <f>'дод 2'!S184</f>
        <v>0</v>
      </c>
      <c r="S159" s="75">
        <f>'дод 2'!T184</f>
        <v>0</v>
      </c>
      <c r="T159" s="75">
        <f>'дод 2'!U184</f>
        <v>0</v>
      </c>
      <c r="U159" s="75">
        <f>'дод 2'!V184</f>
        <v>0</v>
      </c>
      <c r="V159" s="75">
        <f>'дод 2'!W184</f>
        <v>0</v>
      </c>
      <c r="W159" s="75">
        <f>'дод 2'!X184</f>
        <v>0</v>
      </c>
      <c r="X159" s="75">
        <f>'дод 2'!Y184</f>
        <v>0</v>
      </c>
      <c r="Y159" s="168"/>
      <c r="Z159" s="75">
        <f>'дод 2'!AA184</f>
        <v>5715758</v>
      </c>
      <c r="AA159" s="75">
        <f>'дод 2'!AB184</f>
        <v>29059700</v>
      </c>
      <c r="AB159" s="221"/>
    </row>
    <row r="160" spans="1:30" s="106" customFormat="1" ht="18.75" customHeight="1" x14ac:dyDescent="0.25">
      <c r="A160" s="73">
        <v>7422</v>
      </c>
      <c r="B160" s="91" t="s">
        <v>459</v>
      </c>
      <c r="C160" s="56" t="s">
        <v>458</v>
      </c>
      <c r="D160" s="75">
        <f>'дод 2'!E185</f>
        <v>65000000</v>
      </c>
      <c r="E160" s="75">
        <f>'дод 2'!F185</f>
        <v>0</v>
      </c>
      <c r="F160" s="75">
        <f>'дод 2'!G185</f>
        <v>0</v>
      </c>
      <c r="G160" s="75">
        <f>'дод 2'!H185</f>
        <v>0</v>
      </c>
      <c r="H160" s="75">
        <f>'дод 2'!I185</f>
        <v>65000000</v>
      </c>
      <c r="I160" s="75">
        <f>'дод 2'!J185</f>
        <v>11547916</v>
      </c>
      <c r="J160" s="75">
        <f>'дод 2'!K185</f>
        <v>0</v>
      </c>
      <c r="K160" s="75">
        <f>'дод 2'!L185</f>
        <v>0</v>
      </c>
      <c r="L160" s="168">
        <f t="shared" si="31"/>
        <v>17.766024615384616</v>
      </c>
      <c r="M160" s="75">
        <f>'дод 2'!N185</f>
        <v>0</v>
      </c>
      <c r="N160" s="75">
        <f>'дод 2'!O185</f>
        <v>0</v>
      </c>
      <c r="O160" s="75">
        <f>'дод 2'!P185</f>
        <v>0</v>
      </c>
      <c r="P160" s="75">
        <f>'дод 2'!Q185</f>
        <v>0</v>
      </c>
      <c r="Q160" s="75">
        <f>'дод 2'!R185</f>
        <v>0</v>
      </c>
      <c r="R160" s="75">
        <f>'дод 2'!S185</f>
        <v>0</v>
      </c>
      <c r="S160" s="75">
        <f>'дод 2'!T185</f>
        <v>0</v>
      </c>
      <c r="T160" s="75">
        <f>'дод 2'!U185</f>
        <v>0</v>
      </c>
      <c r="U160" s="75">
        <f>'дод 2'!V185</f>
        <v>0</v>
      </c>
      <c r="V160" s="75">
        <f>'дод 2'!W185</f>
        <v>0</v>
      </c>
      <c r="W160" s="75">
        <f>'дод 2'!X185</f>
        <v>0</v>
      </c>
      <c r="X160" s="75">
        <f>'дод 2'!Y185</f>
        <v>0</v>
      </c>
      <c r="Y160" s="168"/>
      <c r="Z160" s="75">
        <f>'дод 2'!AA185</f>
        <v>11547916</v>
      </c>
      <c r="AA160" s="75">
        <f>'дод 2'!AB185</f>
        <v>65000000</v>
      </c>
      <c r="AB160" s="221"/>
    </row>
    <row r="161" spans="1:28" s="106" customFormat="1" ht="26.25" hidden="1" customHeight="1" x14ac:dyDescent="0.25">
      <c r="A161" s="42">
        <v>7426</v>
      </c>
      <c r="B161" s="41" t="s">
        <v>388</v>
      </c>
      <c r="C161" s="46" t="s">
        <v>387</v>
      </c>
      <c r="D161" s="75">
        <f>'дод 2'!E186</f>
        <v>0</v>
      </c>
      <c r="E161" s="75">
        <f>'дод 2'!F186</f>
        <v>0</v>
      </c>
      <c r="F161" s="75">
        <f>'дод 2'!G186</f>
        <v>0</v>
      </c>
      <c r="G161" s="75">
        <f>'дод 2'!H186</f>
        <v>0</v>
      </c>
      <c r="H161" s="75">
        <f>'дод 2'!I186</f>
        <v>0</v>
      </c>
      <c r="I161" s="75">
        <f>'дод 2'!J186</f>
        <v>0</v>
      </c>
      <c r="J161" s="75">
        <f>'дод 2'!K186</f>
        <v>0</v>
      </c>
      <c r="K161" s="75">
        <f>'дод 2'!L186</f>
        <v>0</v>
      </c>
      <c r="L161" s="168" t="e">
        <f t="shared" si="31"/>
        <v>#DIV/0!</v>
      </c>
      <c r="M161" s="75">
        <f>'дод 2'!N186</f>
        <v>0</v>
      </c>
      <c r="N161" s="75">
        <f>'дод 2'!O186</f>
        <v>0</v>
      </c>
      <c r="O161" s="75">
        <f>'дод 2'!P186</f>
        <v>0</v>
      </c>
      <c r="P161" s="75">
        <f>'дод 2'!Q186</f>
        <v>0</v>
      </c>
      <c r="Q161" s="75">
        <f>'дод 2'!R186</f>
        <v>0</v>
      </c>
      <c r="R161" s="75">
        <f>'дод 2'!S186</f>
        <v>0</v>
      </c>
      <c r="S161" s="75">
        <f>'дод 2'!T186</f>
        <v>0</v>
      </c>
      <c r="T161" s="75">
        <f>'дод 2'!U186</f>
        <v>0</v>
      </c>
      <c r="U161" s="75">
        <f>'дод 2'!V186</f>
        <v>0</v>
      </c>
      <c r="V161" s="75">
        <f>'дод 2'!W186</f>
        <v>0</v>
      </c>
      <c r="W161" s="75">
        <f>'дод 2'!X186</f>
        <v>0</v>
      </c>
      <c r="X161" s="75">
        <f>'дод 2'!Y186</f>
        <v>0</v>
      </c>
      <c r="Y161" s="168"/>
      <c r="Z161" s="75">
        <f>'дод 2'!AA186</f>
        <v>0</v>
      </c>
      <c r="AA161" s="75">
        <f>'дод 2'!AB186</f>
        <v>0</v>
      </c>
      <c r="AB161" s="221"/>
    </row>
    <row r="162" spans="1:28" s="106" customFormat="1" ht="23.25" customHeight="1" x14ac:dyDescent="0.25">
      <c r="A162" s="42">
        <v>7450</v>
      </c>
      <c r="B162" s="41" t="s">
        <v>383</v>
      </c>
      <c r="C162" s="56" t="s">
        <v>384</v>
      </c>
      <c r="D162" s="75">
        <f>'дод 2'!E187</f>
        <v>984000</v>
      </c>
      <c r="E162" s="75">
        <f>'дод 2'!F187</f>
        <v>984000</v>
      </c>
      <c r="F162" s="75">
        <f>'дод 2'!G187</f>
        <v>0</v>
      </c>
      <c r="G162" s="75">
        <f>'дод 2'!H187</f>
        <v>0</v>
      </c>
      <c r="H162" s="75">
        <f>'дод 2'!I187</f>
        <v>0</v>
      </c>
      <c r="I162" s="75">
        <f>'дод 2'!J187</f>
        <v>0</v>
      </c>
      <c r="J162" s="75">
        <f>'дод 2'!K187</f>
        <v>0</v>
      </c>
      <c r="K162" s="75">
        <f>'дод 2'!L187</f>
        <v>0</v>
      </c>
      <c r="L162" s="168">
        <f t="shared" si="31"/>
        <v>0</v>
      </c>
      <c r="M162" s="75">
        <f>'дод 2'!N187</f>
        <v>0</v>
      </c>
      <c r="N162" s="75">
        <f>'дод 2'!O187</f>
        <v>0</v>
      </c>
      <c r="O162" s="75">
        <f>'дод 2'!P187</f>
        <v>0</v>
      </c>
      <c r="P162" s="75">
        <f>'дод 2'!Q187</f>
        <v>0</v>
      </c>
      <c r="Q162" s="75">
        <f>'дод 2'!R187</f>
        <v>0</v>
      </c>
      <c r="R162" s="75">
        <f>'дод 2'!S187</f>
        <v>0</v>
      </c>
      <c r="S162" s="75">
        <f>'дод 2'!T187</f>
        <v>0</v>
      </c>
      <c r="T162" s="75">
        <f>'дод 2'!U187</f>
        <v>0</v>
      </c>
      <c r="U162" s="75">
        <f>'дод 2'!V187</f>
        <v>0</v>
      </c>
      <c r="V162" s="75">
        <f>'дод 2'!W187</f>
        <v>0</v>
      </c>
      <c r="W162" s="75">
        <f>'дод 2'!X187</f>
        <v>0</v>
      </c>
      <c r="X162" s="75">
        <f>'дод 2'!Y187</f>
        <v>0</v>
      </c>
      <c r="Y162" s="168"/>
      <c r="Z162" s="75">
        <f>'дод 2'!AA187</f>
        <v>0</v>
      </c>
      <c r="AA162" s="75">
        <f>'дод 2'!AB187</f>
        <v>984000</v>
      </c>
      <c r="AB162" s="221"/>
    </row>
    <row r="163" spans="1:28" s="105" customFormat="1" ht="18.75" customHeight="1" x14ac:dyDescent="0.25">
      <c r="A163" s="47" t="s">
        <v>195</v>
      </c>
      <c r="B163" s="86"/>
      <c r="C163" s="87" t="s">
        <v>196</v>
      </c>
      <c r="D163" s="72">
        <f>D164</f>
        <v>4644100</v>
      </c>
      <c r="E163" s="72">
        <f t="shared" ref="E163:AA163" si="40">E164</f>
        <v>4644100</v>
      </c>
      <c r="F163" s="72">
        <f t="shared" si="40"/>
        <v>0</v>
      </c>
      <c r="G163" s="72">
        <f t="shared" si="40"/>
        <v>0</v>
      </c>
      <c r="H163" s="72">
        <f t="shared" si="40"/>
        <v>0</v>
      </c>
      <c r="I163" s="72">
        <f t="shared" si="40"/>
        <v>138987.13</v>
      </c>
      <c r="J163" s="72">
        <f t="shared" si="40"/>
        <v>0</v>
      </c>
      <c r="K163" s="72">
        <f t="shared" si="40"/>
        <v>0</v>
      </c>
      <c r="L163" s="167">
        <f t="shared" si="31"/>
        <v>2.9927678129239252</v>
      </c>
      <c r="M163" s="72">
        <f t="shared" si="40"/>
        <v>0</v>
      </c>
      <c r="N163" s="72">
        <f t="shared" si="40"/>
        <v>0</v>
      </c>
      <c r="O163" s="72">
        <f t="shared" si="40"/>
        <v>0</v>
      </c>
      <c r="P163" s="72">
        <f t="shared" si="40"/>
        <v>0</v>
      </c>
      <c r="Q163" s="72">
        <f t="shared" si="40"/>
        <v>0</v>
      </c>
      <c r="R163" s="72">
        <f t="shared" si="40"/>
        <v>0</v>
      </c>
      <c r="S163" s="72">
        <f t="shared" si="40"/>
        <v>0</v>
      </c>
      <c r="T163" s="72">
        <f t="shared" si="40"/>
        <v>0</v>
      </c>
      <c r="U163" s="72">
        <f t="shared" si="40"/>
        <v>0</v>
      </c>
      <c r="V163" s="72">
        <f t="shared" si="40"/>
        <v>0</v>
      </c>
      <c r="W163" s="72">
        <f t="shared" si="40"/>
        <v>0</v>
      </c>
      <c r="X163" s="72">
        <f t="shared" si="40"/>
        <v>0</v>
      </c>
      <c r="Y163" s="167"/>
      <c r="Z163" s="72">
        <f t="shared" si="40"/>
        <v>138987.13</v>
      </c>
      <c r="AA163" s="72">
        <f t="shared" si="40"/>
        <v>4644100</v>
      </c>
      <c r="AB163" s="221"/>
    </row>
    <row r="164" spans="1:28" ht="18.75" customHeight="1" x14ac:dyDescent="0.25">
      <c r="A164" s="73" t="s">
        <v>193</v>
      </c>
      <c r="B164" s="73" t="s">
        <v>194</v>
      </c>
      <c r="C164" s="58" t="s">
        <v>192</v>
      </c>
      <c r="D164" s="75">
        <f>'дод 2'!E35</f>
        <v>4644100</v>
      </c>
      <c r="E164" s="75">
        <f>'дод 2'!F35</f>
        <v>4644100</v>
      </c>
      <c r="F164" s="75">
        <f>'дод 2'!G35</f>
        <v>0</v>
      </c>
      <c r="G164" s="75">
        <f>'дод 2'!H35</f>
        <v>0</v>
      </c>
      <c r="H164" s="75">
        <f>'дод 2'!I35</f>
        <v>0</v>
      </c>
      <c r="I164" s="75">
        <f>'дод 2'!J35</f>
        <v>138987.13</v>
      </c>
      <c r="J164" s="75">
        <f>'дод 2'!K35</f>
        <v>0</v>
      </c>
      <c r="K164" s="75">
        <f>'дод 2'!L35</f>
        <v>0</v>
      </c>
      <c r="L164" s="168">
        <f t="shared" si="31"/>
        <v>2.9927678129239252</v>
      </c>
      <c r="M164" s="75">
        <f>'дод 2'!N35</f>
        <v>0</v>
      </c>
      <c r="N164" s="75">
        <f>'дод 2'!O35</f>
        <v>0</v>
      </c>
      <c r="O164" s="75">
        <f>'дод 2'!P35</f>
        <v>0</v>
      </c>
      <c r="P164" s="75">
        <f>'дод 2'!Q35</f>
        <v>0</v>
      </c>
      <c r="Q164" s="75">
        <f>'дод 2'!R35</f>
        <v>0</v>
      </c>
      <c r="R164" s="75">
        <f>'дод 2'!S35</f>
        <v>0</v>
      </c>
      <c r="S164" s="75">
        <f>'дод 2'!T35</f>
        <v>0</v>
      </c>
      <c r="T164" s="75">
        <f>'дод 2'!U35</f>
        <v>0</v>
      </c>
      <c r="U164" s="75">
        <f>'дод 2'!V35</f>
        <v>0</v>
      </c>
      <c r="V164" s="75">
        <f>'дод 2'!W35</f>
        <v>0</v>
      </c>
      <c r="W164" s="75">
        <f>'дод 2'!X35</f>
        <v>0</v>
      </c>
      <c r="X164" s="75">
        <f>'дод 2'!Y35</f>
        <v>0</v>
      </c>
      <c r="Y164" s="168"/>
      <c r="Z164" s="75">
        <f>'дод 2'!AA35</f>
        <v>138987.13</v>
      </c>
      <c r="AA164" s="75">
        <f>'дод 2'!AB35</f>
        <v>4644100</v>
      </c>
      <c r="AB164" s="221"/>
    </row>
    <row r="165" spans="1:28" s="105" customFormat="1" ht="39.75" customHeight="1" x14ac:dyDescent="0.25">
      <c r="A165" s="76" t="s">
        <v>76</v>
      </c>
      <c r="B165" s="86"/>
      <c r="C165" s="87" t="s">
        <v>291</v>
      </c>
      <c r="D165" s="72">
        <f>D168+D169+D172+D173+D174+D175+D176+D177</f>
        <v>7018558</v>
      </c>
      <c r="E165" s="72">
        <f t="shared" ref="E165:AA165" si="41">E168+E169+E172+E173+E174+E175+E176+E177</f>
        <v>5123558</v>
      </c>
      <c r="F165" s="72">
        <f t="shared" si="41"/>
        <v>0</v>
      </c>
      <c r="G165" s="72">
        <f t="shared" si="41"/>
        <v>0</v>
      </c>
      <c r="H165" s="72">
        <f t="shared" si="41"/>
        <v>1895000</v>
      </c>
      <c r="I165" s="72">
        <f t="shared" si="41"/>
        <v>100085.45000000001</v>
      </c>
      <c r="J165" s="72">
        <f t="shared" si="41"/>
        <v>0</v>
      </c>
      <c r="K165" s="72">
        <f t="shared" si="41"/>
        <v>0</v>
      </c>
      <c r="L165" s="167">
        <f t="shared" si="31"/>
        <v>1.4260115824361643</v>
      </c>
      <c r="M165" s="72">
        <f t="shared" si="41"/>
        <v>314471243.99000001</v>
      </c>
      <c r="N165" s="72">
        <f t="shared" si="41"/>
        <v>313182067.38999999</v>
      </c>
      <c r="O165" s="72">
        <f t="shared" si="41"/>
        <v>1066000</v>
      </c>
      <c r="P165" s="72">
        <f t="shared" si="41"/>
        <v>0</v>
      </c>
      <c r="Q165" s="72">
        <f t="shared" si="41"/>
        <v>0</v>
      </c>
      <c r="R165" s="72">
        <f t="shared" si="41"/>
        <v>313405243.99000001</v>
      </c>
      <c r="S165" s="72">
        <f t="shared" si="41"/>
        <v>759098.32000000007</v>
      </c>
      <c r="T165" s="72">
        <f t="shared" si="41"/>
        <v>559098.32000000007</v>
      </c>
      <c r="U165" s="72">
        <f t="shared" si="41"/>
        <v>200000</v>
      </c>
      <c r="V165" s="72">
        <f t="shared" si="41"/>
        <v>0</v>
      </c>
      <c r="W165" s="72">
        <f t="shared" si="41"/>
        <v>0</v>
      </c>
      <c r="X165" s="72">
        <f t="shared" si="41"/>
        <v>559098.32000000007</v>
      </c>
      <c r="Y165" s="167">
        <f t="shared" si="32"/>
        <v>0.24138878657666354</v>
      </c>
      <c r="Z165" s="72">
        <f t="shared" si="41"/>
        <v>859183.77</v>
      </c>
      <c r="AA165" s="72">
        <f t="shared" si="41"/>
        <v>321489801.99000001</v>
      </c>
      <c r="AB165" s="221"/>
    </row>
    <row r="166" spans="1:28" s="109" customFormat="1" ht="16.5" customHeight="1" x14ac:dyDescent="0.25">
      <c r="A166" s="77"/>
      <c r="B166" s="77"/>
      <c r="C166" s="38" t="s">
        <v>289</v>
      </c>
      <c r="D166" s="78">
        <f>D170</f>
        <v>0</v>
      </c>
      <c r="E166" s="78">
        <f t="shared" ref="E166:AA166" si="42">E170</f>
        <v>0</v>
      </c>
      <c r="F166" s="78">
        <f t="shared" si="42"/>
        <v>0</v>
      </c>
      <c r="G166" s="78">
        <f t="shared" si="42"/>
        <v>0</v>
      </c>
      <c r="H166" s="78">
        <f t="shared" si="42"/>
        <v>0</v>
      </c>
      <c r="I166" s="78">
        <f t="shared" si="42"/>
        <v>0</v>
      </c>
      <c r="J166" s="78">
        <f t="shared" si="42"/>
        <v>0</v>
      </c>
      <c r="K166" s="78">
        <f t="shared" si="42"/>
        <v>0</v>
      </c>
      <c r="L166" s="169"/>
      <c r="M166" s="78">
        <f t="shared" si="42"/>
        <v>209249640</v>
      </c>
      <c r="N166" s="78">
        <f t="shared" si="42"/>
        <v>209249640</v>
      </c>
      <c r="O166" s="78">
        <f t="shared" si="42"/>
        <v>0</v>
      </c>
      <c r="P166" s="78">
        <f t="shared" si="42"/>
        <v>0</v>
      </c>
      <c r="Q166" s="78">
        <f t="shared" si="42"/>
        <v>0</v>
      </c>
      <c r="R166" s="78">
        <f t="shared" si="42"/>
        <v>209249640</v>
      </c>
      <c r="S166" s="78">
        <f t="shared" si="42"/>
        <v>0</v>
      </c>
      <c r="T166" s="78">
        <f t="shared" si="42"/>
        <v>0</v>
      </c>
      <c r="U166" s="78">
        <f t="shared" si="42"/>
        <v>0</v>
      </c>
      <c r="V166" s="78">
        <f t="shared" si="42"/>
        <v>0</v>
      </c>
      <c r="W166" s="78">
        <f t="shared" si="42"/>
        <v>0</v>
      </c>
      <c r="X166" s="78">
        <f t="shared" si="42"/>
        <v>0</v>
      </c>
      <c r="Y166" s="169">
        <f t="shared" si="32"/>
        <v>0</v>
      </c>
      <c r="Z166" s="78">
        <f t="shared" si="42"/>
        <v>0</v>
      </c>
      <c r="AA166" s="78">
        <f t="shared" si="42"/>
        <v>209249640</v>
      </c>
      <c r="AB166" s="221"/>
    </row>
    <row r="167" spans="1:28" s="109" customFormat="1" ht="58.35" customHeight="1" x14ac:dyDescent="0.25">
      <c r="A167" s="77"/>
      <c r="B167" s="77"/>
      <c r="C167" s="38" t="str">
        <f>C171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67" s="78">
        <f>D171</f>
        <v>0</v>
      </c>
      <c r="E167" s="78">
        <f t="shared" ref="E167:AA167" si="43">E171</f>
        <v>0</v>
      </c>
      <c r="F167" s="78">
        <f t="shared" si="43"/>
        <v>0</v>
      </c>
      <c r="G167" s="78">
        <f t="shared" si="43"/>
        <v>0</v>
      </c>
      <c r="H167" s="78">
        <f t="shared" si="43"/>
        <v>0</v>
      </c>
      <c r="I167" s="78">
        <f t="shared" si="43"/>
        <v>0</v>
      </c>
      <c r="J167" s="78">
        <f t="shared" si="43"/>
        <v>0</v>
      </c>
      <c r="K167" s="78">
        <f t="shared" si="43"/>
        <v>0</v>
      </c>
      <c r="L167" s="169"/>
      <c r="M167" s="78">
        <f t="shared" si="43"/>
        <v>42813357.390000001</v>
      </c>
      <c r="N167" s="78">
        <f t="shared" si="43"/>
        <v>42813357.390000001</v>
      </c>
      <c r="O167" s="78">
        <f t="shared" si="43"/>
        <v>0</v>
      </c>
      <c r="P167" s="78">
        <f t="shared" si="43"/>
        <v>0</v>
      </c>
      <c r="Q167" s="78">
        <f t="shared" si="43"/>
        <v>0</v>
      </c>
      <c r="R167" s="78">
        <f t="shared" si="43"/>
        <v>42813357.390000001</v>
      </c>
      <c r="S167" s="78">
        <f t="shared" si="43"/>
        <v>0</v>
      </c>
      <c r="T167" s="78">
        <f t="shared" si="43"/>
        <v>0</v>
      </c>
      <c r="U167" s="78">
        <f t="shared" si="43"/>
        <v>0</v>
      </c>
      <c r="V167" s="78">
        <f t="shared" si="43"/>
        <v>0</v>
      </c>
      <c r="W167" s="78">
        <f t="shared" si="43"/>
        <v>0</v>
      </c>
      <c r="X167" s="78">
        <f t="shared" si="43"/>
        <v>0</v>
      </c>
      <c r="Y167" s="169">
        <f t="shared" si="32"/>
        <v>0</v>
      </c>
      <c r="Z167" s="78">
        <f t="shared" si="43"/>
        <v>0</v>
      </c>
      <c r="AA167" s="78">
        <f t="shared" si="43"/>
        <v>42813357.390000001</v>
      </c>
      <c r="AB167" s="221"/>
    </row>
    <row r="168" spans="1:28" ht="29.25" customHeight="1" x14ac:dyDescent="0.25">
      <c r="A168" s="73" t="s">
        <v>2</v>
      </c>
      <c r="B168" s="73" t="s">
        <v>75</v>
      </c>
      <c r="C168" s="56" t="s">
        <v>20</v>
      </c>
      <c r="D168" s="75">
        <f>'дод 2'!E218</f>
        <v>660000</v>
      </c>
      <c r="E168" s="75">
        <f>'дод 2'!F218</f>
        <v>60000</v>
      </c>
      <c r="F168" s="75">
        <f>'дод 2'!G218</f>
        <v>0</v>
      </c>
      <c r="G168" s="75">
        <f>'дод 2'!H218</f>
        <v>0</v>
      </c>
      <c r="H168" s="75">
        <f>'дод 2'!I218</f>
        <v>600000</v>
      </c>
      <c r="I168" s="75">
        <f>'дод 2'!J218</f>
        <v>0</v>
      </c>
      <c r="J168" s="75">
        <f>'дод 2'!K218</f>
        <v>0</v>
      </c>
      <c r="K168" s="75">
        <f>'дод 2'!L218</f>
        <v>0</v>
      </c>
      <c r="L168" s="168">
        <f t="shared" si="31"/>
        <v>0</v>
      </c>
      <c r="M168" s="75">
        <f>'дод 2'!N218</f>
        <v>0</v>
      </c>
      <c r="N168" s="75">
        <f>'дод 2'!O218</f>
        <v>0</v>
      </c>
      <c r="O168" s="75">
        <f>'дод 2'!P218</f>
        <v>0</v>
      </c>
      <c r="P168" s="75">
        <f>'дод 2'!Q218</f>
        <v>0</v>
      </c>
      <c r="Q168" s="75">
        <f>'дод 2'!R218</f>
        <v>0</v>
      </c>
      <c r="R168" s="75">
        <f>'дод 2'!S218</f>
        <v>0</v>
      </c>
      <c r="S168" s="75">
        <f>'дод 2'!T218</f>
        <v>0</v>
      </c>
      <c r="T168" s="75">
        <f>'дод 2'!U218</f>
        <v>0</v>
      </c>
      <c r="U168" s="75">
        <f>'дод 2'!V218</f>
        <v>0</v>
      </c>
      <c r="V168" s="75">
        <f>'дод 2'!W218</f>
        <v>0</v>
      </c>
      <c r="W168" s="75">
        <f>'дод 2'!X218</f>
        <v>0</v>
      </c>
      <c r="X168" s="75">
        <f>'дод 2'!Y218</f>
        <v>0</v>
      </c>
      <c r="Y168" s="168"/>
      <c r="Z168" s="75">
        <f>'дод 2'!AA218</f>
        <v>0</v>
      </c>
      <c r="AA168" s="75">
        <f>'дод 2'!AB218</f>
        <v>660000</v>
      </c>
      <c r="AB168" s="221"/>
    </row>
    <row r="169" spans="1:28" ht="21" customHeight="1" x14ac:dyDescent="0.25">
      <c r="A169" s="73" t="s">
        <v>0</v>
      </c>
      <c r="B169" s="73" t="s">
        <v>74</v>
      </c>
      <c r="C169" s="56" t="s">
        <v>288</v>
      </c>
      <c r="D169" s="75">
        <f>'дод 2'!E101+'дод 2'!E114+'дод 2'!E188+'дод 2'!E209+'дод 2'!E235</f>
        <v>3155734</v>
      </c>
      <c r="E169" s="75">
        <f>'дод 2'!F101+'дод 2'!F114+'дод 2'!F188+'дод 2'!F209+'дод 2'!F235</f>
        <v>1860734</v>
      </c>
      <c r="F169" s="75">
        <f>'дод 2'!G101+'дод 2'!G114+'дод 2'!G188+'дод 2'!G209+'дод 2'!G235</f>
        <v>0</v>
      </c>
      <c r="G169" s="75">
        <f>'дод 2'!H101+'дод 2'!H114+'дод 2'!H188+'дод 2'!H209+'дод 2'!H235</f>
        <v>0</v>
      </c>
      <c r="H169" s="75">
        <f>'дод 2'!I101+'дод 2'!I114+'дод 2'!I188+'дод 2'!I209+'дод 2'!I235</f>
        <v>1295000</v>
      </c>
      <c r="I169" s="75">
        <f>'дод 2'!J101+'дод 2'!J114+'дод 2'!J188+'дод 2'!J209+'дод 2'!J235</f>
        <v>21477.29</v>
      </c>
      <c r="J169" s="75">
        <f>'дод 2'!K101+'дод 2'!K114+'дод 2'!K188+'дод 2'!K209+'дод 2'!K235</f>
        <v>0</v>
      </c>
      <c r="K169" s="75">
        <f>'дод 2'!L101+'дод 2'!L114+'дод 2'!L188+'дод 2'!L209+'дод 2'!L235</f>
        <v>0</v>
      </c>
      <c r="L169" s="168">
        <f t="shared" si="31"/>
        <v>0.68057985875869131</v>
      </c>
      <c r="M169" s="75">
        <f>'дод 2'!N101+'дод 2'!N114+'дод 2'!N188+'дод 2'!N209+'дод 2'!N235</f>
        <v>297715978.38999999</v>
      </c>
      <c r="N169" s="75">
        <f>'дод 2'!O101+'дод 2'!O114+'дод 2'!O188+'дод 2'!O209+'дод 2'!O235</f>
        <v>297715978.38999999</v>
      </c>
      <c r="O169" s="75">
        <f>'дод 2'!P101+'дод 2'!P114+'дод 2'!P188+'дод 2'!P209+'дод 2'!P235</f>
        <v>0</v>
      </c>
      <c r="P169" s="75">
        <f>'дод 2'!Q101+'дод 2'!Q114+'дод 2'!Q188+'дод 2'!Q209+'дод 2'!Q235</f>
        <v>0</v>
      </c>
      <c r="Q169" s="75">
        <f>'дод 2'!R101+'дод 2'!R114+'дод 2'!R188+'дод 2'!R209+'дод 2'!R235</f>
        <v>0</v>
      </c>
      <c r="R169" s="75">
        <f>'дод 2'!S101+'дод 2'!S114+'дод 2'!S188+'дод 2'!S209+'дод 2'!S235</f>
        <v>297715978.38999999</v>
      </c>
      <c r="S169" s="75">
        <f>'дод 2'!T101+'дод 2'!T114+'дод 2'!T188+'дод 2'!T209+'дод 2'!T235</f>
        <v>382863.16000000003</v>
      </c>
      <c r="T169" s="75">
        <f>'дод 2'!U101+'дод 2'!U114+'дод 2'!U188+'дод 2'!U209+'дод 2'!U235</f>
        <v>382863.16000000003</v>
      </c>
      <c r="U169" s="75">
        <f>'дод 2'!V101+'дод 2'!V114+'дод 2'!V188+'дод 2'!V209+'дод 2'!V235</f>
        <v>0</v>
      </c>
      <c r="V169" s="75">
        <f>'дод 2'!W101+'дод 2'!W114+'дод 2'!W188+'дод 2'!W209+'дод 2'!W235</f>
        <v>0</v>
      </c>
      <c r="W169" s="75">
        <f>'дод 2'!X101+'дод 2'!X114+'дод 2'!X188+'дод 2'!X209+'дод 2'!X235</f>
        <v>0</v>
      </c>
      <c r="X169" s="75">
        <f>'дод 2'!Y101+'дод 2'!Y114+'дод 2'!Y188+'дод 2'!Y209+'дод 2'!Y235</f>
        <v>382863.16000000003</v>
      </c>
      <c r="Y169" s="168">
        <f t="shared" si="32"/>
        <v>0.12860013831654662</v>
      </c>
      <c r="Z169" s="75">
        <f>'дод 2'!AA101+'дод 2'!AA114+'дод 2'!AA188+'дод 2'!AA209+'дод 2'!AA235</f>
        <v>404340.45</v>
      </c>
      <c r="AA169" s="75">
        <f>'дод 2'!AB101+'дод 2'!AB114+'дод 2'!AB188+'дод 2'!AB209+'дод 2'!AB235</f>
        <v>300871712.38999999</v>
      </c>
      <c r="AB169" s="221"/>
    </row>
    <row r="170" spans="1:28" s="106" customFormat="1" ht="19.5" customHeight="1" x14ac:dyDescent="0.25">
      <c r="A170" s="79"/>
      <c r="B170" s="79"/>
      <c r="C170" s="55" t="s">
        <v>289</v>
      </c>
      <c r="D170" s="80">
        <f>'дод 2'!E210</f>
        <v>0</v>
      </c>
      <c r="E170" s="80">
        <f>'дод 2'!F210</f>
        <v>0</v>
      </c>
      <c r="F170" s="80">
        <f>'дод 2'!G210</f>
        <v>0</v>
      </c>
      <c r="G170" s="80">
        <f>'дод 2'!H210</f>
        <v>0</v>
      </c>
      <c r="H170" s="80">
        <f>'дод 2'!I210</f>
        <v>0</v>
      </c>
      <c r="I170" s="80">
        <f>'дод 2'!J210</f>
        <v>0</v>
      </c>
      <c r="J170" s="80">
        <f>'дод 2'!K210</f>
        <v>0</v>
      </c>
      <c r="K170" s="80">
        <f>'дод 2'!L210</f>
        <v>0</v>
      </c>
      <c r="L170" s="170"/>
      <c r="M170" s="80">
        <f>'дод 2'!N210</f>
        <v>209249640</v>
      </c>
      <c r="N170" s="80">
        <f>'дод 2'!O210</f>
        <v>209249640</v>
      </c>
      <c r="O170" s="80">
        <f>'дод 2'!P210</f>
        <v>0</v>
      </c>
      <c r="P170" s="80">
        <f>'дод 2'!Q210</f>
        <v>0</v>
      </c>
      <c r="Q170" s="80">
        <f>'дод 2'!R210</f>
        <v>0</v>
      </c>
      <c r="R170" s="80">
        <f>'дод 2'!S210</f>
        <v>209249640</v>
      </c>
      <c r="S170" s="80">
        <f>'дод 2'!T210</f>
        <v>0</v>
      </c>
      <c r="T170" s="80">
        <f>'дод 2'!U210</f>
        <v>0</v>
      </c>
      <c r="U170" s="80">
        <f>'дод 2'!V210</f>
        <v>0</v>
      </c>
      <c r="V170" s="80">
        <f>'дод 2'!W210</f>
        <v>0</v>
      </c>
      <c r="W170" s="80">
        <f>'дод 2'!X210</f>
        <v>0</v>
      </c>
      <c r="X170" s="80">
        <f>'дод 2'!Y210</f>
        <v>0</v>
      </c>
      <c r="Y170" s="170">
        <f t="shared" si="32"/>
        <v>0</v>
      </c>
      <c r="Z170" s="80">
        <f>'дод 2'!AA210</f>
        <v>0</v>
      </c>
      <c r="AA170" s="80">
        <f>'дод 2'!AB210</f>
        <v>209249640</v>
      </c>
      <c r="AB170" s="221"/>
    </row>
    <row r="171" spans="1:28" s="106" customFormat="1" ht="52.35" customHeight="1" x14ac:dyDescent="0.25">
      <c r="A171" s="79"/>
      <c r="B171" s="79"/>
      <c r="C171" s="55" t="s">
        <v>461</v>
      </c>
      <c r="D171" s="80">
        <f>'дод 2'!E211</f>
        <v>0</v>
      </c>
      <c r="E171" s="80">
        <f>'дод 2'!F211</f>
        <v>0</v>
      </c>
      <c r="F171" s="80">
        <f>'дод 2'!G211</f>
        <v>0</v>
      </c>
      <c r="G171" s="80">
        <f>'дод 2'!H211</f>
        <v>0</v>
      </c>
      <c r="H171" s="80">
        <f>'дод 2'!I211</f>
        <v>0</v>
      </c>
      <c r="I171" s="80">
        <f>'дод 2'!J211</f>
        <v>0</v>
      </c>
      <c r="J171" s="80">
        <f>'дод 2'!K211</f>
        <v>0</v>
      </c>
      <c r="K171" s="80">
        <f>'дод 2'!L211</f>
        <v>0</v>
      </c>
      <c r="L171" s="170"/>
      <c r="M171" s="80">
        <f>'дод 2'!N211</f>
        <v>42813357.390000001</v>
      </c>
      <c r="N171" s="80">
        <f>'дод 2'!O211</f>
        <v>42813357.390000001</v>
      </c>
      <c r="O171" s="80">
        <f>'дод 2'!P211</f>
        <v>0</v>
      </c>
      <c r="P171" s="80">
        <f>'дод 2'!Q211</f>
        <v>0</v>
      </c>
      <c r="Q171" s="80">
        <f>'дод 2'!R211</f>
        <v>0</v>
      </c>
      <c r="R171" s="80">
        <f>'дод 2'!S211</f>
        <v>42813357.390000001</v>
      </c>
      <c r="S171" s="80">
        <f>'дод 2'!T211</f>
        <v>0</v>
      </c>
      <c r="T171" s="80">
        <f>'дод 2'!U211</f>
        <v>0</v>
      </c>
      <c r="U171" s="80">
        <f>'дод 2'!V211</f>
        <v>0</v>
      </c>
      <c r="V171" s="80">
        <f>'дод 2'!W211</f>
        <v>0</v>
      </c>
      <c r="W171" s="80">
        <f>'дод 2'!X211</f>
        <v>0</v>
      </c>
      <c r="X171" s="80">
        <f>'дод 2'!Y211</f>
        <v>0</v>
      </c>
      <c r="Y171" s="170">
        <f t="shared" si="32"/>
        <v>0</v>
      </c>
      <c r="Z171" s="80">
        <f>'дод 2'!AA211</f>
        <v>0</v>
      </c>
      <c r="AA171" s="80">
        <f>'дод 2'!AB211</f>
        <v>42813357.390000001</v>
      </c>
      <c r="AB171" s="221"/>
    </row>
    <row r="172" spans="1:28" ht="33.75" customHeight="1" x14ac:dyDescent="0.25">
      <c r="A172" s="73" t="s">
        <v>217</v>
      </c>
      <c r="B172" s="73" t="s">
        <v>70</v>
      </c>
      <c r="C172" s="56" t="s">
        <v>270</v>
      </c>
      <c r="D172" s="75">
        <f>'дод 2'!E228</f>
        <v>0</v>
      </c>
      <c r="E172" s="75">
        <f>'дод 2'!F228</f>
        <v>0</v>
      </c>
      <c r="F172" s="75">
        <f>'дод 2'!G228</f>
        <v>0</v>
      </c>
      <c r="G172" s="75">
        <f>'дод 2'!H228</f>
        <v>0</v>
      </c>
      <c r="H172" s="75">
        <f>'дод 2'!I228</f>
        <v>0</v>
      </c>
      <c r="I172" s="75">
        <f>'дод 2'!J228</f>
        <v>0</v>
      </c>
      <c r="J172" s="75">
        <f>'дод 2'!K228</f>
        <v>0</v>
      </c>
      <c r="K172" s="75">
        <f>'дод 2'!L228</f>
        <v>0</v>
      </c>
      <c r="L172" s="168"/>
      <c r="M172" s="75">
        <f>'дод 2'!N228</f>
        <v>30000</v>
      </c>
      <c r="N172" s="75">
        <f>'дод 2'!O228</f>
        <v>30000</v>
      </c>
      <c r="O172" s="75">
        <f>'дод 2'!P228</f>
        <v>0</v>
      </c>
      <c r="P172" s="75">
        <f>'дод 2'!Q228</f>
        <v>0</v>
      </c>
      <c r="Q172" s="75">
        <f>'дод 2'!R228</f>
        <v>0</v>
      </c>
      <c r="R172" s="75">
        <f>'дод 2'!S228</f>
        <v>30000</v>
      </c>
      <c r="S172" s="75">
        <f>'дод 2'!T228</f>
        <v>0</v>
      </c>
      <c r="T172" s="75">
        <f>'дод 2'!U228</f>
        <v>0</v>
      </c>
      <c r="U172" s="75">
        <f>'дод 2'!V228</f>
        <v>0</v>
      </c>
      <c r="V172" s="75">
        <f>'дод 2'!W228</f>
        <v>0</v>
      </c>
      <c r="W172" s="75">
        <f>'дод 2'!X228</f>
        <v>0</v>
      </c>
      <c r="X172" s="75">
        <f>'дод 2'!Y228</f>
        <v>0</v>
      </c>
      <c r="Y172" s="168">
        <f t="shared" si="32"/>
        <v>0</v>
      </c>
      <c r="Z172" s="75">
        <f>'дод 2'!AA228</f>
        <v>0</v>
      </c>
      <c r="AA172" s="75">
        <f>'дод 2'!AB228</f>
        <v>30000</v>
      </c>
      <c r="AB172" s="221"/>
    </row>
    <row r="173" spans="1:28" ht="47.25" customHeight="1" x14ac:dyDescent="0.25">
      <c r="A173" s="73" t="s">
        <v>218</v>
      </c>
      <c r="B173" s="73" t="s">
        <v>70</v>
      </c>
      <c r="C173" s="56" t="s">
        <v>219</v>
      </c>
      <c r="D173" s="75">
        <f>'дод 2'!E229</f>
        <v>0</v>
      </c>
      <c r="E173" s="75">
        <f>'дод 2'!F229</f>
        <v>0</v>
      </c>
      <c r="F173" s="75">
        <f>'дод 2'!G229</f>
        <v>0</v>
      </c>
      <c r="G173" s="75">
        <f>'дод 2'!H229</f>
        <v>0</v>
      </c>
      <c r="H173" s="75">
        <f>'дод 2'!I229</f>
        <v>0</v>
      </c>
      <c r="I173" s="75">
        <f>'дод 2'!J229</f>
        <v>0</v>
      </c>
      <c r="J173" s="75">
        <f>'дод 2'!K229</f>
        <v>0</v>
      </c>
      <c r="K173" s="75">
        <f>'дод 2'!L229</f>
        <v>0</v>
      </c>
      <c r="L173" s="168"/>
      <c r="M173" s="75">
        <f>'дод 2'!N229</f>
        <v>50000</v>
      </c>
      <c r="N173" s="75">
        <f>'дод 2'!O229</f>
        <v>50000</v>
      </c>
      <c r="O173" s="75">
        <f>'дод 2'!P229</f>
        <v>0</v>
      </c>
      <c r="P173" s="75">
        <f>'дод 2'!Q229</f>
        <v>0</v>
      </c>
      <c r="Q173" s="75">
        <f>'дод 2'!R229</f>
        <v>0</v>
      </c>
      <c r="R173" s="75">
        <f>'дод 2'!S229</f>
        <v>50000</v>
      </c>
      <c r="S173" s="75">
        <f>'дод 2'!T229</f>
        <v>0</v>
      </c>
      <c r="T173" s="75">
        <f>'дод 2'!U229</f>
        <v>0</v>
      </c>
      <c r="U173" s="75">
        <f>'дод 2'!V229</f>
        <v>0</v>
      </c>
      <c r="V173" s="75">
        <f>'дод 2'!W229</f>
        <v>0</v>
      </c>
      <c r="W173" s="75">
        <f>'дод 2'!X229</f>
        <v>0</v>
      </c>
      <c r="X173" s="75">
        <f>'дод 2'!Y229</f>
        <v>0</v>
      </c>
      <c r="Y173" s="168">
        <f t="shared" si="32"/>
        <v>0</v>
      </c>
      <c r="Z173" s="75">
        <f>'дод 2'!AA229</f>
        <v>0</v>
      </c>
      <c r="AA173" s="75">
        <f>'дод 2'!AB229</f>
        <v>50000</v>
      </c>
      <c r="AB173" s="221">
        <v>8</v>
      </c>
    </row>
    <row r="174" spans="1:28" ht="24.75" customHeight="1" x14ac:dyDescent="0.25">
      <c r="A174" s="73" t="s">
        <v>3</v>
      </c>
      <c r="B174" s="73" t="s">
        <v>70</v>
      </c>
      <c r="C174" s="56" t="s">
        <v>337</v>
      </c>
      <c r="D174" s="75">
        <f>'дод 2'!E189</f>
        <v>0</v>
      </c>
      <c r="E174" s="75">
        <f>'дод 2'!F189</f>
        <v>0</v>
      </c>
      <c r="F174" s="75">
        <f>'дод 2'!G189</f>
        <v>0</v>
      </c>
      <c r="G174" s="75">
        <f>'дод 2'!H189</f>
        <v>0</v>
      </c>
      <c r="H174" s="75">
        <f>'дод 2'!I189</f>
        <v>0</v>
      </c>
      <c r="I174" s="75">
        <f>'дод 2'!J189</f>
        <v>0</v>
      </c>
      <c r="J174" s="75">
        <f>'дод 2'!K189</f>
        <v>0</v>
      </c>
      <c r="K174" s="75">
        <f>'дод 2'!L189</f>
        <v>0</v>
      </c>
      <c r="L174" s="168"/>
      <c r="M174" s="75">
        <f>'дод 2'!N189</f>
        <v>15386089</v>
      </c>
      <c r="N174" s="75">
        <f>'дод 2'!O189</f>
        <v>15386089</v>
      </c>
      <c r="O174" s="75">
        <f>'дод 2'!P189</f>
        <v>0</v>
      </c>
      <c r="P174" s="75">
        <f>'дод 2'!Q189</f>
        <v>0</v>
      </c>
      <c r="Q174" s="75">
        <f>'дод 2'!R189</f>
        <v>0</v>
      </c>
      <c r="R174" s="75">
        <f>'дод 2'!S189</f>
        <v>15386089</v>
      </c>
      <c r="S174" s="75">
        <f>'дод 2'!T189</f>
        <v>176235.16</v>
      </c>
      <c r="T174" s="75">
        <f>'дод 2'!U189</f>
        <v>176235.16</v>
      </c>
      <c r="U174" s="75">
        <f>'дод 2'!V189</f>
        <v>0</v>
      </c>
      <c r="V174" s="75">
        <f>'дод 2'!W189</f>
        <v>0</v>
      </c>
      <c r="W174" s="75">
        <f>'дод 2'!X189</f>
        <v>0</v>
      </c>
      <c r="X174" s="75">
        <f>'дод 2'!Y189</f>
        <v>176235.16</v>
      </c>
      <c r="Y174" s="168">
        <f t="shared" si="32"/>
        <v>1.145418826057746</v>
      </c>
      <c r="Z174" s="75">
        <f>'дод 2'!AA189</f>
        <v>176235.16</v>
      </c>
      <c r="AA174" s="75">
        <f>'дод 2'!AB189</f>
        <v>15386089</v>
      </c>
      <c r="AB174" s="221"/>
    </row>
    <row r="175" spans="1:28" ht="30" customHeight="1" x14ac:dyDescent="0.25">
      <c r="A175" s="73" t="s">
        <v>206</v>
      </c>
      <c r="B175" s="73" t="s">
        <v>70</v>
      </c>
      <c r="C175" s="56" t="s">
        <v>207</v>
      </c>
      <c r="D175" s="75">
        <f>'дод 2'!E36</f>
        <v>463094</v>
      </c>
      <c r="E175" s="75">
        <f>'дод 2'!F36</f>
        <v>463094</v>
      </c>
      <c r="F175" s="75">
        <f>'дод 2'!G36</f>
        <v>0</v>
      </c>
      <c r="G175" s="75">
        <f>'дод 2'!H36</f>
        <v>0</v>
      </c>
      <c r="H175" s="75">
        <f>'дод 2'!I36</f>
        <v>0</v>
      </c>
      <c r="I175" s="75">
        <f>'дод 2'!J36</f>
        <v>0</v>
      </c>
      <c r="J175" s="75">
        <f>'дод 2'!K36</f>
        <v>0</v>
      </c>
      <c r="K175" s="75">
        <f>'дод 2'!L36</f>
        <v>0</v>
      </c>
      <c r="L175" s="168">
        <f t="shared" si="31"/>
        <v>0</v>
      </c>
      <c r="M175" s="75">
        <f>'дод 2'!N36</f>
        <v>0</v>
      </c>
      <c r="N175" s="75">
        <f>'дод 2'!O36</f>
        <v>0</v>
      </c>
      <c r="O175" s="75">
        <f>'дод 2'!P36</f>
        <v>0</v>
      </c>
      <c r="P175" s="75">
        <f>'дод 2'!Q36</f>
        <v>0</v>
      </c>
      <c r="Q175" s="75">
        <f>'дод 2'!R36</f>
        <v>0</v>
      </c>
      <c r="R175" s="75">
        <f>'дод 2'!S36</f>
        <v>0</v>
      </c>
      <c r="S175" s="75">
        <f>'дод 2'!T36</f>
        <v>0</v>
      </c>
      <c r="T175" s="75">
        <f>'дод 2'!U36</f>
        <v>0</v>
      </c>
      <c r="U175" s="75">
        <f>'дод 2'!V36</f>
        <v>0</v>
      </c>
      <c r="V175" s="75">
        <f>'дод 2'!W36</f>
        <v>0</v>
      </c>
      <c r="W175" s="75">
        <f>'дод 2'!X36</f>
        <v>0</v>
      </c>
      <c r="X175" s="75">
        <f>'дод 2'!Y36</f>
        <v>0</v>
      </c>
      <c r="Y175" s="168"/>
      <c r="Z175" s="75">
        <f>'дод 2'!AA36</f>
        <v>0</v>
      </c>
      <c r="AA175" s="75">
        <f>'дод 2'!AB36</f>
        <v>463094</v>
      </c>
      <c r="AB175" s="221"/>
    </row>
    <row r="176" spans="1:28" s="106" customFormat="1" ht="109.5" customHeight="1" x14ac:dyDescent="0.25">
      <c r="A176" s="73" t="s">
        <v>233</v>
      </c>
      <c r="B176" s="73" t="s">
        <v>70</v>
      </c>
      <c r="C176" s="56" t="s">
        <v>244</v>
      </c>
      <c r="D176" s="75">
        <f>'дод 2'!E37+'дод 2'!E190+'дод 2'!E230</f>
        <v>0</v>
      </c>
      <c r="E176" s="75">
        <f>'дод 2'!F37+'дод 2'!F190+'дод 2'!F230</f>
        <v>0</v>
      </c>
      <c r="F176" s="75">
        <f>'дод 2'!G37+'дод 2'!G190+'дод 2'!G230</f>
        <v>0</v>
      </c>
      <c r="G176" s="75">
        <f>'дод 2'!H37+'дод 2'!H190+'дод 2'!H230</f>
        <v>0</v>
      </c>
      <c r="H176" s="75">
        <f>'дод 2'!I37+'дод 2'!I190+'дод 2'!I230</f>
        <v>0</v>
      </c>
      <c r="I176" s="75">
        <f>'дод 2'!J37+'дод 2'!J190+'дод 2'!J230</f>
        <v>0</v>
      </c>
      <c r="J176" s="75">
        <f>'дод 2'!K37+'дод 2'!K190+'дод 2'!K230</f>
        <v>0</v>
      </c>
      <c r="K176" s="75">
        <f>'дод 2'!L37+'дод 2'!L190+'дод 2'!L230</f>
        <v>0</v>
      </c>
      <c r="L176" s="168"/>
      <c r="M176" s="75">
        <f>'дод 2'!N37+'дод 2'!N190+'дод 2'!N230</f>
        <v>1289176.6000000001</v>
      </c>
      <c r="N176" s="75">
        <f>'дод 2'!O37+'дод 2'!O190+'дод 2'!O230</f>
        <v>0</v>
      </c>
      <c r="O176" s="75">
        <f>'дод 2'!P37+'дод 2'!P190+'дод 2'!P230</f>
        <v>1066000</v>
      </c>
      <c r="P176" s="75">
        <f>'дод 2'!Q37+'дод 2'!Q190+'дод 2'!Q230</f>
        <v>0</v>
      </c>
      <c r="Q176" s="75">
        <f>'дод 2'!R37+'дод 2'!R190+'дод 2'!R230</f>
        <v>0</v>
      </c>
      <c r="R176" s="75">
        <f>'дод 2'!S37+'дод 2'!S190+'дод 2'!S230</f>
        <v>223176.6</v>
      </c>
      <c r="S176" s="75">
        <f>'дод 2'!T37+'дод 2'!T190+'дод 2'!T230</f>
        <v>200000</v>
      </c>
      <c r="T176" s="75">
        <f>'дод 2'!U37+'дод 2'!U190+'дод 2'!U230</f>
        <v>0</v>
      </c>
      <c r="U176" s="75">
        <f>'дод 2'!V37+'дод 2'!V190+'дод 2'!V230</f>
        <v>200000</v>
      </c>
      <c r="V176" s="75">
        <f>'дод 2'!W37+'дод 2'!W190+'дод 2'!W230</f>
        <v>0</v>
      </c>
      <c r="W176" s="75">
        <f>'дод 2'!X37+'дод 2'!X190+'дод 2'!X230</f>
        <v>0</v>
      </c>
      <c r="X176" s="75">
        <f>'дод 2'!Y37+'дод 2'!Y190+'дод 2'!Y230</f>
        <v>0</v>
      </c>
      <c r="Y176" s="168">
        <f t="shared" si="32"/>
        <v>15.513778329516684</v>
      </c>
      <c r="Z176" s="75">
        <f>'дод 2'!AA37+'дод 2'!AA190+'дод 2'!AA230</f>
        <v>200000</v>
      </c>
      <c r="AA176" s="75">
        <f>'дод 2'!AB37+'дод 2'!AB190+'дод 2'!AB230</f>
        <v>1289176.6000000001</v>
      </c>
      <c r="AB176" s="221"/>
    </row>
    <row r="177" spans="1:30" s="106" customFormat="1" ht="23.25" customHeight="1" x14ac:dyDescent="0.25">
      <c r="A177" s="73" t="s">
        <v>197</v>
      </c>
      <c r="B177" s="73" t="s">
        <v>70</v>
      </c>
      <c r="C177" s="56" t="s">
        <v>15</v>
      </c>
      <c r="D177" s="75">
        <f>'дод 2'!E38+'дод 2'!E236+'дод 2'!E222+'дод 2'!E231</f>
        <v>2739730</v>
      </c>
      <c r="E177" s="75">
        <f>'дод 2'!F38+'дод 2'!F236+'дод 2'!F222+'дод 2'!F231</f>
        <v>2739730</v>
      </c>
      <c r="F177" s="75">
        <f>'дод 2'!G38+'дод 2'!G236+'дод 2'!G222+'дод 2'!G231</f>
        <v>0</v>
      </c>
      <c r="G177" s="75">
        <f>'дод 2'!H38+'дод 2'!H236+'дод 2'!H222+'дод 2'!H231</f>
        <v>0</v>
      </c>
      <c r="H177" s="75">
        <f>'дод 2'!I38+'дод 2'!I236+'дод 2'!I222+'дод 2'!I231</f>
        <v>0</v>
      </c>
      <c r="I177" s="75">
        <f>'дод 2'!J38+'дод 2'!J236+'дод 2'!J222+'дод 2'!J231</f>
        <v>78608.160000000003</v>
      </c>
      <c r="J177" s="75">
        <f>'дод 2'!K38+'дод 2'!K236+'дод 2'!K222+'дод 2'!K231</f>
        <v>0</v>
      </c>
      <c r="K177" s="75">
        <f>'дод 2'!L38+'дод 2'!L236+'дод 2'!L222+'дод 2'!L231</f>
        <v>0</v>
      </c>
      <c r="L177" s="168">
        <f t="shared" si="31"/>
        <v>2.8691936796691646</v>
      </c>
      <c r="M177" s="75">
        <f>'дод 2'!N38+'дод 2'!N236+'дод 2'!N222+'дод 2'!N231</f>
        <v>0</v>
      </c>
      <c r="N177" s="75">
        <f>'дод 2'!O38+'дод 2'!O236+'дод 2'!O222+'дод 2'!O231</f>
        <v>0</v>
      </c>
      <c r="O177" s="75">
        <f>'дод 2'!P38+'дод 2'!P236+'дод 2'!P222+'дод 2'!P231</f>
        <v>0</v>
      </c>
      <c r="P177" s="75">
        <f>'дод 2'!Q38+'дод 2'!Q236+'дод 2'!Q222+'дод 2'!Q231</f>
        <v>0</v>
      </c>
      <c r="Q177" s="75">
        <f>'дод 2'!R38+'дод 2'!R236+'дод 2'!R222+'дод 2'!R231</f>
        <v>0</v>
      </c>
      <c r="R177" s="75">
        <f>'дод 2'!S38+'дод 2'!S236+'дод 2'!S222+'дод 2'!S231</f>
        <v>0</v>
      </c>
      <c r="S177" s="75">
        <f>'дод 2'!T38+'дод 2'!T236+'дод 2'!T222+'дод 2'!T231</f>
        <v>0</v>
      </c>
      <c r="T177" s="75">
        <f>'дод 2'!U38+'дод 2'!U236+'дод 2'!U222+'дод 2'!U231</f>
        <v>0</v>
      </c>
      <c r="U177" s="75">
        <f>'дод 2'!V38+'дод 2'!V236+'дод 2'!V222+'дод 2'!V231</f>
        <v>0</v>
      </c>
      <c r="V177" s="75">
        <f>'дод 2'!W38+'дод 2'!W236+'дод 2'!W222+'дод 2'!W231</f>
        <v>0</v>
      </c>
      <c r="W177" s="75">
        <f>'дод 2'!X38+'дод 2'!X236+'дод 2'!X222+'дод 2'!X231</f>
        <v>0</v>
      </c>
      <c r="X177" s="75">
        <f>'дод 2'!Y38+'дод 2'!Y236+'дод 2'!Y222+'дод 2'!Y231</f>
        <v>0</v>
      </c>
      <c r="Y177" s="168"/>
      <c r="Z177" s="75">
        <f>'дод 2'!AA38+'дод 2'!AA236+'дод 2'!AA222+'дод 2'!AA231</f>
        <v>78608.160000000003</v>
      </c>
      <c r="AA177" s="75">
        <f>'дод 2'!AB38+'дод 2'!AB236+'дод 2'!AB222+'дод 2'!AB231</f>
        <v>2739730</v>
      </c>
      <c r="AB177" s="221"/>
    </row>
    <row r="178" spans="1:30" s="105" customFormat="1" ht="23.25" customHeight="1" x14ac:dyDescent="0.25">
      <c r="A178" s="76" t="s">
        <v>81</v>
      </c>
      <c r="B178" s="47"/>
      <c r="C178" s="87" t="s">
        <v>496</v>
      </c>
      <c r="D178" s="72">
        <f>D180+D185+D188+D191+D192</f>
        <v>501185190</v>
      </c>
      <c r="E178" s="72">
        <f t="shared" ref="E178:AA178" si="44">E180+E185+E188+E191+E192</f>
        <v>56495893</v>
      </c>
      <c r="F178" s="72">
        <f t="shared" si="44"/>
        <v>3314000</v>
      </c>
      <c r="G178" s="72">
        <f t="shared" si="44"/>
        <v>4220300</v>
      </c>
      <c r="H178" s="72">
        <f t="shared" si="44"/>
        <v>0</v>
      </c>
      <c r="I178" s="72">
        <f t="shared" si="44"/>
        <v>9166407.9700000007</v>
      </c>
      <c r="J178" s="72">
        <f t="shared" si="44"/>
        <v>656074.55000000005</v>
      </c>
      <c r="K178" s="72">
        <f t="shared" si="44"/>
        <v>1487861.37</v>
      </c>
      <c r="L178" s="167">
        <f t="shared" si="31"/>
        <v>1.8289462962782281</v>
      </c>
      <c r="M178" s="72">
        <f t="shared" si="44"/>
        <v>3383800</v>
      </c>
      <c r="N178" s="72">
        <f t="shared" si="44"/>
        <v>920000</v>
      </c>
      <c r="O178" s="72">
        <f t="shared" si="44"/>
        <v>2453400</v>
      </c>
      <c r="P178" s="72">
        <f t="shared" si="44"/>
        <v>0</v>
      </c>
      <c r="Q178" s="72">
        <f t="shared" si="44"/>
        <v>1500</v>
      </c>
      <c r="R178" s="72">
        <f t="shared" si="44"/>
        <v>930400</v>
      </c>
      <c r="S178" s="72">
        <f t="shared" si="44"/>
        <v>823929.39</v>
      </c>
      <c r="T178" s="72">
        <f t="shared" si="44"/>
        <v>0</v>
      </c>
      <c r="U178" s="72">
        <f t="shared" si="44"/>
        <v>181575.66</v>
      </c>
      <c r="V178" s="72">
        <f t="shared" si="44"/>
        <v>40983.599999999999</v>
      </c>
      <c r="W178" s="72">
        <f t="shared" si="44"/>
        <v>0</v>
      </c>
      <c r="X178" s="72">
        <f t="shared" si="44"/>
        <v>642353.73</v>
      </c>
      <c r="Y178" s="167">
        <f t="shared" si="32"/>
        <v>24.349234292806905</v>
      </c>
      <c r="Z178" s="72">
        <f t="shared" si="44"/>
        <v>9990337.3599999994</v>
      </c>
      <c r="AA178" s="72">
        <f t="shared" si="44"/>
        <v>504568990</v>
      </c>
      <c r="AB178" s="221"/>
      <c r="AD178" s="108">
        <f>E178+D192</f>
        <v>501185190</v>
      </c>
    </row>
    <row r="179" spans="1:30" s="119" customFormat="1" ht="58.5" customHeight="1" x14ac:dyDescent="0.25">
      <c r="A179" s="77"/>
      <c r="B179" s="48"/>
      <c r="C179" s="88" t="str">
        <f>C181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79" s="78">
        <f>D181</f>
        <v>514900</v>
      </c>
      <c r="E179" s="78">
        <f t="shared" ref="E179:AA179" si="45">E181</f>
        <v>514900</v>
      </c>
      <c r="F179" s="78">
        <f t="shared" si="45"/>
        <v>422100</v>
      </c>
      <c r="G179" s="78">
        <f t="shared" si="45"/>
        <v>0</v>
      </c>
      <c r="H179" s="78">
        <f t="shared" si="45"/>
        <v>0</v>
      </c>
      <c r="I179" s="78">
        <f t="shared" si="45"/>
        <v>65150</v>
      </c>
      <c r="J179" s="78">
        <f t="shared" si="45"/>
        <v>53400</v>
      </c>
      <c r="K179" s="78">
        <f t="shared" si="45"/>
        <v>0</v>
      </c>
      <c r="L179" s="169">
        <f t="shared" si="31"/>
        <v>12.652942318896873</v>
      </c>
      <c r="M179" s="78">
        <f t="shared" si="45"/>
        <v>0</v>
      </c>
      <c r="N179" s="78">
        <f t="shared" si="45"/>
        <v>0</v>
      </c>
      <c r="O179" s="78">
        <f t="shared" si="45"/>
        <v>0</v>
      </c>
      <c r="P179" s="78">
        <f t="shared" si="45"/>
        <v>0</v>
      </c>
      <c r="Q179" s="78">
        <f t="shared" si="45"/>
        <v>0</v>
      </c>
      <c r="R179" s="78">
        <f t="shared" si="45"/>
        <v>0</v>
      </c>
      <c r="S179" s="78">
        <f t="shared" si="45"/>
        <v>0</v>
      </c>
      <c r="T179" s="78">
        <f t="shared" si="45"/>
        <v>0</v>
      </c>
      <c r="U179" s="78">
        <f t="shared" si="45"/>
        <v>0</v>
      </c>
      <c r="V179" s="78">
        <f t="shared" si="45"/>
        <v>0</v>
      </c>
      <c r="W179" s="78">
        <f t="shared" si="45"/>
        <v>0</v>
      </c>
      <c r="X179" s="78">
        <f t="shared" si="45"/>
        <v>0</v>
      </c>
      <c r="Y179" s="169"/>
      <c r="Z179" s="78">
        <f t="shared" si="45"/>
        <v>65150</v>
      </c>
      <c r="AA179" s="78">
        <f t="shared" si="45"/>
        <v>514900</v>
      </c>
      <c r="AB179" s="221"/>
      <c r="AD179" s="120"/>
    </row>
    <row r="180" spans="1:30" s="105" customFormat="1" ht="43.5" customHeight="1" x14ac:dyDescent="0.25">
      <c r="A180" s="76" t="s">
        <v>83</v>
      </c>
      <c r="B180" s="47"/>
      <c r="C180" s="87" t="s">
        <v>525</v>
      </c>
      <c r="D180" s="72">
        <f t="shared" ref="D180" si="46">D182+D183</f>
        <v>26132500</v>
      </c>
      <c r="E180" s="72">
        <f t="shared" ref="E180:AA180" si="47">E182+E183</f>
        <v>26132500</v>
      </c>
      <c r="F180" s="72">
        <f t="shared" si="47"/>
        <v>3314000</v>
      </c>
      <c r="G180" s="72">
        <f t="shared" si="47"/>
        <v>1200900</v>
      </c>
      <c r="H180" s="72">
        <f t="shared" si="47"/>
        <v>0</v>
      </c>
      <c r="I180" s="72">
        <f t="shared" si="47"/>
        <v>2960170.1</v>
      </c>
      <c r="J180" s="72">
        <f t="shared" si="47"/>
        <v>656074.55000000005</v>
      </c>
      <c r="K180" s="72">
        <f t="shared" si="47"/>
        <v>320399.32</v>
      </c>
      <c r="L180" s="167">
        <f t="shared" si="31"/>
        <v>11.327542715010045</v>
      </c>
      <c r="M180" s="72">
        <f t="shared" si="47"/>
        <v>927100</v>
      </c>
      <c r="N180" s="72">
        <f t="shared" si="47"/>
        <v>920000</v>
      </c>
      <c r="O180" s="72">
        <f t="shared" si="47"/>
        <v>7100</v>
      </c>
      <c r="P180" s="72">
        <f t="shared" si="47"/>
        <v>0</v>
      </c>
      <c r="Q180" s="72">
        <f t="shared" si="47"/>
        <v>1500</v>
      </c>
      <c r="R180" s="72">
        <f t="shared" si="47"/>
        <v>920000</v>
      </c>
      <c r="S180" s="72">
        <f t="shared" si="47"/>
        <v>728545.17</v>
      </c>
      <c r="T180" s="72">
        <f t="shared" si="47"/>
        <v>0</v>
      </c>
      <c r="U180" s="72">
        <f t="shared" si="47"/>
        <v>86191.44</v>
      </c>
      <c r="V180" s="72">
        <f t="shared" si="47"/>
        <v>40983.599999999999</v>
      </c>
      <c r="W180" s="72">
        <f t="shared" si="47"/>
        <v>0</v>
      </c>
      <c r="X180" s="72">
        <f t="shared" si="47"/>
        <v>642353.73</v>
      </c>
      <c r="Y180" s="167">
        <f t="shared" si="32"/>
        <v>78.58323481825046</v>
      </c>
      <c r="Z180" s="72">
        <f t="shared" si="47"/>
        <v>3688715.27</v>
      </c>
      <c r="AA180" s="72">
        <f t="shared" si="47"/>
        <v>27059600</v>
      </c>
      <c r="AB180" s="221"/>
    </row>
    <row r="181" spans="1:30" s="119" customFormat="1" ht="66" customHeight="1" x14ac:dyDescent="0.25">
      <c r="A181" s="77"/>
      <c r="B181" s="48"/>
      <c r="C181" s="88" t="str">
        <f>C184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81" s="78">
        <f>D184</f>
        <v>514900</v>
      </c>
      <c r="E181" s="78">
        <f t="shared" ref="E181:AA181" si="48">E184</f>
        <v>514900</v>
      </c>
      <c r="F181" s="78">
        <f t="shared" si="48"/>
        <v>422100</v>
      </c>
      <c r="G181" s="78">
        <f t="shared" si="48"/>
        <v>0</v>
      </c>
      <c r="H181" s="78">
        <f t="shared" si="48"/>
        <v>0</v>
      </c>
      <c r="I181" s="78">
        <f t="shared" si="48"/>
        <v>65150</v>
      </c>
      <c r="J181" s="78">
        <f t="shared" si="48"/>
        <v>53400</v>
      </c>
      <c r="K181" s="78">
        <f t="shared" si="48"/>
        <v>0</v>
      </c>
      <c r="L181" s="169">
        <f t="shared" si="31"/>
        <v>12.652942318896873</v>
      </c>
      <c r="M181" s="78">
        <f t="shared" si="48"/>
        <v>0</v>
      </c>
      <c r="N181" s="78">
        <f t="shared" si="48"/>
        <v>0</v>
      </c>
      <c r="O181" s="78">
        <f t="shared" si="48"/>
        <v>0</v>
      </c>
      <c r="P181" s="78">
        <f t="shared" si="48"/>
        <v>0</v>
      </c>
      <c r="Q181" s="78">
        <f t="shared" si="48"/>
        <v>0</v>
      </c>
      <c r="R181" s="78">
        <f t="shared" si="48"/>
        <v>0</v>
      </c>
      <c r="S181" s="78">
        <f t="shared" si="48"/>
        <v>0</v>
      </c>
      <c r="T181" s="78">
        <f t="shared" si="48"/>
        <v>0</v>
      </c>
      <c r="U181" s="78">
        <f t="shared" si="48"/>
        <v>0</v>
      </c>
      <c r="V181" s="78">
        <f t="shared" si="48"/>
        <v>0</v>
      </c>
      <c r="W181" s="78">
        <f t="shared" si="48"/>
        <v>0</v>
      </c>
      <c r="X181" s="78">
        <f t="shared" si="48"/>
        <v>0</v>
      </c>
      <c r="Y181" s="169"/>
      <c r="Z181" s="78">
        <f t="shared" si="48"/>
        <v>65150</v>
      </c>
      <c r="AA181" s="78">
        <f t="shared" si="48"/>
        <v>514900</v>
      </c>
      <c r="AB181" s="221"/>
    </row>
    <row r="182" spans="1:30" s="105" customFormat="1" ht="36.75" customHeight="1" x14ac:dyDescent="0.25">
      <c r="A182" s="73" t="s">
        <v>5</v>
      </c>
      <c r="B182" s="73" t="s">
        <v>77</v>
      </c>
      <c r="C182" s="56" t="s">
        <v>371</v>
      </c>
      <c r="D182" s="75">
        <f>'дод 2'!E39+'дод 2'!E191</f>
        <v>21651800</v>
      </c>
      <c r="E182" s="75">
        <f>'дод 2'!F39+'дод 2'!F191</f>
        <v>21651800</v>
      </c>
      <c r="F182" s="75">
        <f>'дод 2'!G39+'дод 2'!G191</f>
        <v>0</v>
      </c>
      <c r="G182" s="75">
        <f>'дод 2'!H39+'дод 2'!H191</f>
        <v>1082000</v>
      </c>
      <c r="H182" s="75">
        <f>'дод 2'!I39+'дод 2'!I191</f>
        <v>0</v>
      </c>
      <c r="I182" s="75">
        <f>'дод 2'!J39+'дод 2'!J191</f>
        <v>2108819.37</v>
      </c>
      <c r="J182" s="75">
        <f>'дод 2'!K39+'дод 2'!K191</f>
        <v>0</v>
      </c>
      <c r="K182" s="75">
        <f>'дод 2'!L39+'дод 2'!L191</f>
        <v>298954.23999999999</v>
      </c>
      <c r="L182" s="168">
        <f t="shared" si="31"/>
        <v>9.7396954063865362</v>
      </c>
      <c r="M182" s="75">
        <f>'дод 2'!N39+'дод 2'!N191</f>
        <v>920000</v>
      </c>
      <c r="N182" s="75">
        <f>'дод 2'!O39+'дод 2'!O191</f>
        <v>920000</v>
      </c>
      <c r="O182" s="75">
        <f>'дод 2'!P39+'дод 2'!P191</f>
        <v>0</v>
      </c>
      <c r="P182" s="75">
        <f>'дод 2'!Q39+'дод 2'!Q191</f>
        <v>0</v>
      </c>
      <c r="Q182" s="75">
        <f>'дод 2'!R39+'дод 2'!R191</f>
        <v>0</v>
      </c>
      <c r="R182" s="75">
        <f>'дод 2'!S39+'дод 2'!S191</f>
        <v>920000</v>
      </c>
      <c r="S182" s="75">
        <f>'дод 2'!T39+'дод 2'!T191</f>
        <v>650000</v>
      </c>
      <c r="T182" s="75">
        <f>'дод 2'!U39+'дод 2'!U191</f>
        <v>0</v>
      </c>
      <c r="U182" s="75">
        <f>'дод 2'!V39+'дод 2'!V191</f>
        <v>50000</v>
      </c>
      <c r="V182" s="75">
        <f>'дод 2'!W39+'дод 2'!W191</f>
        <v>40983.599999999999</v>
      </c>
      <c r="W182" s="75">
        <f>'дод 2'!X39+'дод 2'!X191</f>
        <v>0</v>
      </c>
      <c r="X182" s="75">
        <f>'дод 2'!Y39+'дод 2'!Y191</f>
        <v>600000</v>
      </c>
      <c r="Y182" s="168">
        <f t="shared" si="32"/>
        <v>70.652173913043484</v>
      </c>
      <c r="Z182" s="75">
        <f>'дод 2'!AA39+'дод 2'!AA191</f>
        <v>2758819.37</v>
      </c>
      <c r="AA182" s="75">
        <f>'дод 2'!AB39+'дод 2'!AB191</f>
        <v>22571800</v>
      </c>
      <c r="AB182" s="221"/>
    </row>
    <row r="183" spans="1:30" ht="21" customHeight="1" x14ac:dyDescent="0.25">
      <c r="A183" s="73" t="s">
        <v>122</v>
      </c>
      <c r="B183" s="42" t="s">
        <v>77</v>
      </c>
      <c r="C183" s="56" t="s">
        <v>495</v>
      </c>
      <c r="D183" s="75">
        <f>'дод 2'!E40</f>
        <v>4480700</v>
      </c>
      <c r="E183" s="75">
        <f>'дод 2'!F40</f>
        <v>4480700</v>
      </c>
      <c r="F183" s="75">
        <f>'дод 2'!G40</f>
        <v>3314000</v>
      </c>
      <c r="G183" s="75">
        <f>'дод 2'!H40</f>
        <v>118900</v>
      </c>
      <c r="H183" s="75">
        <f>'дод 2'!I40</f>
        <v>0</v>
      </c>
      <c r="I183" s="75">
        <f>'дод 2'!J40</f>
        <v>851350.73</v>
      </c>
      <c r="J183" s="75">
        <f>'дод 2'!K40</f>
        <v>656074.55000000005</v>
      </c>
      <c r="K183" s="75">
        <f>'дод 2'!L40</f>
        <v>21445.08</v>
      </c>
      <c r="L183" s="168">
        <f t="shared" si="31"/>
        <v>19.000395697100899</v>
      </c>
      <c r="M183" s="75">
        <f>'дод 2'!N40</f>
        <v>7100</v>
      </c>
      <c r="N183" s="75">
        <f>'дод 2'!O40</f>
        <v>0</v>
      </c>
      <c r="O183" s="75">
        <f>'дод 2'!P40</f>
        <v>7100</v>
      </c>
      <c r="P183" s="75">
        <f>'дод 2'!Q40</f>
        <v>0</v>
      </c>
      <c r="Q183" s="75">
        <f>'дод 2'!R40</f>
        <v>1500</v>
      </c>
      <c r="R183" s="75">
        <f>'дод 2'!S40</f>
        <v>0</v>
      </c>
      <c r="S183" s="75">
        <f>'дод 2'!T40</f>
        <v>78545.170000000013</v>
      </c>
      <c r="T183" s="75">
        <f>'дод 2'!U40</f>
        <v>0</v>
      </c>
      <c r="U183" s="75">
        <f>'дод 2'!V40</f>
        <v>36191.440000000002</v>
      </c>
      <c r="V183" s="75">
        <f>'дод 2'!W40</f>
        <v>0</v>
      </c>
      <c r="W183" s="75">
        <f>'дод 2'!X40</f>
        <v>0</v>
      </c>
      <c r="X183" s="75">
        <f>'дод 2'!Y40</f>
        <v>42353.73</v>
      </c>
      <c r="Y183" s="168" t="s">
        <v>516</v>
      </c>
      <c r="Z183" s="75">
        <f>'дод 2'!AA40</f>
        <v>929895.9</v>
      </c>
      <c r="AA183" s="75">
        <f>'дод 2'!AB40</f>
        <v>4487800</v>
      </c>
      <c r="AB183" s="221"/>
    </row>
    <row r="184" spans="1:30" s="118" customFormat="1" ht="63.75" customHeight="1" x14ac:dyDescent="0.25">
      <c r="A184" s="79"/>
      <c r="B184" s="51"/>
      <c r="C184" s="89" t="s">
        <v>497</v>
      </c>
      <c r="D184" s="80">
        <f>'дод 2'!E41</f>
        <v>514900</v>
      </c>
      <c r="E184" s="80">
        <f>'дод 2'!F41</f>
        <v>514900</v>
      </c>
      <c r="F184" s="80">
        <f>'дод 2'!G41</f>
        <v>422100</v>
      </c>
      <c r="G184" s="80">
        <f>'дод 2'!H41</f>
        <v>0</v>
      </c>
      <c r="H184" s="80">
        <f>'дод 2'!I41</f>
        <v>0</v>
      </c>
      <c r="I184" s="80">
        <f>'дод 2'!J41</f>
        <v>65150</v>
      </c>
      <c r="J184" s="80">
        <f>'дод 2'!K41</f>
        <v>53400</v>
      </c>
      <c r="K184" s="80">
        <f>'дод 2'!L41</f>
        <v>0</v>
      </c>
      <c r="L184" s="170">
        <f t="shared" si="31"/>
        <v>12.652942318896873</v>
      </c>
      <c r="M184" s="80">
        <f>'дод 2'!N41</f>
        <v>0</v>
      </c>
      <c r="N184" s="80">
        <f>'дод 2'!O41</f>
        <v>0</v>
      </c>
      <c r="O184" s="80">
        <f>'дод 2'!P41</f>
        <v>0</v>
      </c>
      <c r="P184" s="80">
        <f>'дод 2'!Q41</f>
        <v>0</v>
      </c>
      <c r="Q184" s="80">
        <f>'дод 2'!R41</f>
        <v>0</v>
      </c>
      <c r="R184" s="80">
        <f>'дод 2'!S41</f>
        <v>0</v>
      </c>
      <c r="S184" s="80">
        <f>'дод 2'!T41</f>
        <v>0</v>
      </c>
      <c r="T184" s="80">
        <f>'дод 2'!U41</f>
        <v>0</v>
      </c>
      <c r="U184" s="80">
        <f>'дод 2'!V41</f>
        <v>0</v>
      </c>
      <c r="V184" s="80">
        <f>'дод 2'!W41</f>
        <v>0</v>
      </c>
      <c r="W184" s="80">
        <f>'дод 2'!X41</f>
        <v>0</v>
      </c>
      <c r="X184" s="80">
        <f>'дод 2'!Y41</f>
        <v>0</v>
      </c>
      <c r="Y184" s="170"/>
      <c r="Z184" s="80">
        <f>'дод 2'!AA41</f>
        <v>65150</v>
      </c>
      <c r="AA184" s="80">
        <f>'дод 2'!AB41</f>
        <v>514900</v>
      </c>
      <c r="AB184" s="221"/>
    </row>
    <row r="185" spans="1:30" s="105" customFormat="1" ht="23.25" customHeight="1" x14ac:dyDescent="0.25">
      <c r="A185" s="76" t="s">
        <v>208</v>
      </c>
      <c r="B185" s="76"/>
      <c r="C185" s="92" t="s">
        <v>209</v>
      </c>
      <c r="D185" s="72">
        <f>D186+D187</f>
        <v>23495764</v>
      </c>
      <c r="E185" s="72">
        <f t="shared" ref="E185:AA185" si="49">E186+E187</f>
        <v>23495764</v>
      </c>
      <c r="F185" s="72">
        <f t="shared" si="49"/>
        <v>0</v>
      </c>
      <c r="G185" s="72">
        <f t="shared" si="49"/>
        <v>3019400</v>
      </c>
      <c r="H185" s="72">
        <f t="shared" si="49"/>
        <v>0</v>
      </c>
      <c r="I185" s="72">
        <f t="shared" si="49"/>
        <v>6206237.8700000001</v>
      </c>
      <c r="J185" s="72">
        <f t="shared" si="49"/>
        <v>0</v>
      </c>
      <c r="K185" s="72">
        <f t="shared" si="49"/>
        <v>1167462.05</v>
      </c>
      <c r="L185" s="167">
        <f t="shared" si="31"/>
        <v>26.414284166286318</v>
      </c>
      <c r="M185" s="72">
        <f t="shared" si="49"/>
        <v>0</v>
      </c>
      <c r="N185" s="72">
        <f t="shared" si="49"/>
        <v>0</v>
      </c>
      <c r="O185" s="72">
        <f t="shared" si="49"/>
        <v>0</v>
      </c>
      <c r="P185" s="72">
        <f t="shared" si="49"/>
        <v>0</v>
      </c>
      <c r="Q185" s="72">
        <f t="shared" si="49"/>
        <v>0</v>
      </c>
      <c r="R185" s="72">
        <f t="shared" si="49"/>
        <v>0</v>
      </c>
      <c r="S185" s="72">
        <f t="shared" si="49"/>
        <v>37549.22</v>
      </c>
      <c r="T185" s="72">
        <f t="shared" si="49"/>
        <v>0</v>
      </c>
      <c r="U185" s="72">
        <f t="shared" si="49"/>
        <v>37549.22</v>
      </c>
      <c r="V185" s="72">
        <f t="shared" si="49"/>
        <v>0</v>
      </c>
      <c r="W185" s="72">
        <f t="shared" si="49"/>
        <v>0</v>
      </c>
      <c r="X185" s="72">
        <f t="shared" si="49"/>
        <v>0</v>
      </c>
      <c r="Y185" s="167"/>
      <c r="Z185" s="72">
        <f t="shared" si="49"/>
        <v>6243787.0899999999</v>
      </c>
      <c r="AA185" s="72">
        <f t="shared" si="49"/>
        <v>23495764</v>
      </c>
      <c r="AB185" s="221"/>
    </row>
    <row r="186" spans="1:30" ht="22.5" customHeight="1" x14ac:dyDescent="0.25">
      <c r="A186" s="73" t="s">
        <v>202</v>
      </c>
      <c r="B186" s="42" t="s">
        <v>203</v>
      </c>
      <c r="C186" s="56" t="s">
        <v>204</v>
      </c>
      <c r="D186" s="75">
        <f>'дод 2'!E42</f>
        <v>714500</v>
      </c>
      <c r="E186" s="75">
        <f>'дод 2'!F42</f>
        <v>714500</v>
      </c>
      <c r="F186" s="75">
        <f>'дод 2'!G42</f>
        <v>0</v>
      </c>
      <c r="G186" s="75">
        <f>'дод 2'!H42</f>
        <v>589400</v>
      </c>
      <c r="H186" s="75">
        <f>'дод 2'!I42</f>
        <v>0</v>
      </c>
      <c r="I186" s="75">
        <f>'дод 2'!J42</f>
        <v>232608.15</v>
      </c>
      <c r="J186" s="75">
        <f>'дод 2'!K42</f>
        <v>0</v>
      </c>
      <c r="K186" s="75">
        <f>'дод 2'!L42</f>
        <v>219811.55</v>
      </c>
      <c r="L186" s="168">
        <f t="shared" si="31"/>
        <v>32.555374387683692</v>
      </c>
      <c r="M186" s="75">
        <f>'дод 2'!N42</f>
        <v>0</v>
      </c>
      <c r="N186" s="75">
        <f>'дод 2'!O42</f>
        <v>0</v>
      </c>
      <c r="O186" s="75">
        <f>'дод 2'!P42</f>
        <v>0</v>
      </c>
      <c r="P186" s="75">
        <f>'дод 2'!Q42</f>
        <v>0</v>
      </c>
      <c r="Q186" s="75">
        <f>'дод 2'!R42</f>
        <v>0</v>
      </c>
      <c r="R186" s="75">
        <f>'дод 2'!S42</f>
        <v>0</v>
      </c>
      <c r="S186" s="75">
        <f>'дод 2'!T42</f>
        <v>0</v>
      </c>
      <c r="T186" s="75">
        <f>'дод 2'!U42</f>
        <v>0</v>
      </c>
      <c r="U186" s="75">
        <f>'дод 2'!V42</f>
        <v>0</v>
      </c>
      <c r="V186" s="75">
        <f>'дод 2'!W42</f>
        <v>0</v>
      </c>
      <c r="W186" s="75">
        <f>'дод 2'!X42</f>
        <v>0</v>
      </c>
      <c r="X186" s="75">
        <f>'дод 2'!Y42</f>
        <v>0</v>
      </c>
      <c r="Y186" s="168"/>
      <c r="Z186" s="75">
        <f>'дод 2'!AA42</f>
        <v>232608.15</v>
      </c>
      <c r="AA186" s="75">
        <f>'дод 2'!AB42</f>
        <v>714500</v>
      </c>
      <c r="AB186" s="221"/>
    </row>
    <row r="187" spans="1:30" ht="22.5" customHeight="1" x14ac:dyDescent="0.25">
      <c r="A187" s="73">
        <v>8240</v>
      </c>
      <c r="B187" s="42" t="s">
        <v>203</v>
      </c>
      <c r="C187" s="56" t="s">
        <v>336</v>
      </c>
      <c r="D187" s="75">
        <f>'дод 2'!E43+'дод 2'!E192+'дод 2'!E102</f>
        <v>22781264</v>
      </c>
      <c r="E187" s="75">
        <f>'дод 2'!F43+'дод 2'!F192+'дод 2'!F102</f>
        <v>22781264</v>
      </c>
      <c r="F187" s="75">
        <f>'дод 2'!G43+'дод 2'!G192+'дод 2'!G102</f>
        <v>0</v>
      </c>
      <c r="G187" s="75">
        <f>'дод 2'!H43+'дод 2'!H192+'дод 2'!H102</f>
        <v>2430000</v>
      </c>
      <c r="H187" s="75">
        <f>'дод 2'!I43+'дод 2'!I192+'дод 2'!I102</f>
        <v>0</v>
      </c>
      <c r="I187" s="75">
        <f>'дод 2'!J43+'дод 2'!J192+'дод 2'!J102</f>
        <v>5973629.7199999997</v>
      </c>
      <c r="J187" s="75">
        <f>'дод 2'!K43+'дод 2'!K192+'дод 2'!K102</f>
        <v>0</v>
      </c>
      <c r="K187" s="75">
        <f>'дод 2'!L43+'дод 2'!L192+'дод 2'!L102</f>
        <v>947650.5</v>
      </c>
      <c r="L187" s="168">
        <f t="shared" si="31"/>
        <v>26.221678129887788</v>
      </c>
      <c r="M187" s="75">
        <f>'дод 2'!N43+'дод 2'!N192+'дод 2'!N102</f>
        <v>0</v>
      </c>
      <c r="N187" s="75">
        <f>'дод 2'!O43+'дод 2'!O192+'дод 2'!O102</f>
        <v>0</v>
      </c>
      <c r="O187" s="75">
        <f>'дод 2'!P43+'дод 2'!P192+'дод 2'!P102</f>
        <v>0</v>
      </c>
      <c r="P187" s="75">
        <f>'дод 2'!Q43+'дод 2'!Q192+'дод 2'!Q102</f>
        <v>0</v>
      </c>
      <c r="Q187" s="75">
        <f>'дод 2'!R43+'дод 2'!R192+'дод 2'!R102</f>
        <v>0</v>
      </c>
      <c r="R187" s="75">
        <f>'дод 2'!S43+'дод 2'!S192+'дод 2'!S102</f>
        <v>0</v>
      </c>
      <c r="S187" s="75">
        <f>'дод 2'!T43+'дод 2'!T192+'дод 2'!T102</f>
        <v>37549.22</v>
      </c>
      <c r="T187" s="75">
        <f>'дод 2'!U43+'дод 2'!U192+'дод 2'!U102</f>
        <v>0</v>
      </c>
      <c r="U187" s="75">
        <f>'дод 2'!V43+'дод 2'!V192+'дод 2'!V102</f>
        <v>37549.22</v>
      </c>
      <c r="V187" s="75">
        <f>'дод 2'!W43+'дод 2'!W192+'дод 2'!W102</f>
        <v>0</v>
      </c>
      <c r="W187" s="75">
        <f>'дод 2'!X43+'дод 2'!X192+'дод 2'!X102</f>
        <v>0</v>
      </c>
      <c r="X187" s="75">
        <f>'дод 2'!Y43+'дод 2'!Y192+'дод 2'!Y102</f>
        <v>0</v>
      </c>
      <c r="Y187" s="168"/>
      <c r="Z187" s="75">
        <f>'дод 2'!AA43+'дод 2'!AA192+'дод 2'!AA102</f>
        <v>6011178.9399999995</v>
      </c>
      <c r="AA187" s="75">
        <f>'дод 2'!AB43+'дод 2'!AB192+'дод 2'!AB102</f>
        <v>22781264</v>
      </c>
      <c r="AB187" s="221"/>
    </row>
    <row r="188" spans="1:30" s="105" customFormat="1" ht="22.5" customHeight="1" x14ac:dyDescent="0.25">
      <c r="A188" s="76" t="s">
        <v>4</v>
      </c>
      <c r="B188" s="47"/>
      <c r="C188" s="87" t="s">
        <v>6</v>
      </c>
      <c r="D188" s="72">
        <f>D190+D189</f>
        <v>75000</v>
      </c>
      <c r="E188" s="72">
        <f t="shared" ref="E188:AA188" si="50">E190+E189</f>
        <v>75000</v>
      </c>
      <c r="F188" s="72">
        <f t="shared" si="50"/>
        <v>0</v>
      </c>
      <c r="G188" s="72">
        <f t="shared" si="50"/>
        <v>0</v>
      </c>
      <c r="H188" s="72">
        <f t="shared" si="50"/>
        <v>0</v>
      </c>
      <c r="I188" s="72">
        <f t="shared" si="50"/>
        <v>0</v>
      </c>
      <c r="J188" s="72">
        <f t="shared" si="50"/>
        <v>0</v>
      </c>
      <c r="K188" s="72">
        <f t="shared" si="50"/>
        <v>0</v>
      </c>
      <c r="L188" s="167">
        <f t="shared" si="31"/>
        <v>0</v>
      </c>
      <c r="M188" s="72">
        <f t="shared" si="50"/>
        <v>2456700</v>
      </c>
      <c r="N188" s="72">
        <f t="shared" si="50"/>
        <v>0</v>
      </c>
      <c r="O188" s="72">
        <f t="shared" si="50"/>
        <v>2446300</v>
      </c>
      <c r="P188" s="72">
        <f t="shared" si="50"/>
        <v>0</v>
      </c>
      <c r="Q188" s="72">
        <f t="shared" si="50"/>
        <v>0</v>
      </c>
      <c r="R188" s="72">
        <f t="shared" si="50"/>
        <v>10400</v>
      </c>
      <c r="S188" s="72">
        <f t="shared" si="50"/>
        <v>57835</v>
      </c>
      <c r="T188" s="72">
        <f t="shared" si="50"/>
        <v>0</v>
      </c>
      <c r="U188" s="72">
        <f t="shared" si="50"/>
        <v>57835</v>
      </c>
      <c r="V188" s="72">
        <f t="shared" si="50"/>
        <v>0</v>
      </c>
      <c r="W188" s="72">
        <f t="shared" si="50"/>
        <v>0</v>
      </c>
      <c r="X188" s="72">
        <f t="shared" si="50"/>
        <v>0</v>
      </c>
      <c r="Y188" s="167">
        <f t="shared" si="32"/>
        <v>2.3541742988561891</v>
      </c>
      <c r="Z188" s="72">
        <f t="shared" si="50"/>
        <v>57835</v>
      </c>
      <c r="AA188" s="72">
        <f t="shared" si="50"/>
        <v>2531700</v>
      </c>
      <c r="AB188" s="221"/>
    </row>
    <row r="189" spans="1:30" s="105" customFormat="1" ht="33.75" customHeight="1" x14ac:dyDescent="0.25">
      <c r="A189" s="73">
        <v>8330</v>
      </c>
      <c r="B189" s="91" t="s">
        <v>79</v>
      </c>
      <c r="C189" s="56" t="s">
        <v>272</v>
      </c>
      <c r="D189" s="75">
        <f>'дод 2'!E237</f>
        <v>75000</v>
      </c>
      <c r="E189" s="75">
        <f>'дод 2'!F237</f>
        <v>75000</v>
      </c>
      <c r="F189" s="75">
        <f>'дод 2'!G237</f>
        <v>0</v>
      </c>
      <c r="G189" s="75">
        <f>'дод 2'!H237</f>
        <v>0</v>
      </c>
      <c r="H189" s="75">
        <f>'дод 2'!I237</f>
        <v>0</v>
      </c>
      <c r="I189" s="75">
        <f>'дод 2'!J237</f>
        <v>0</v>
      </c>
      <c r="J189" s="75">
        <f>'дод 2'!K237</f>
        <v>0</v>
      </c>
      <c r="K189" s="75">
        <f>'дод 2'!L237</f>
        <v>0</v>
      </c>
      <c r="L189" s="168">
        <f t="shared" si="31"/>
        <v>0</v>
      </c>
      <c r="M189" s="75">
        <f>'дод 2'!N237</f>
        <v>0</v>
      </c>
      <c r="N189" s="75">
        <f>'дод 2'!O237</f>
        <v>0</v>
      </c>
      <c r="O189" s="75">
        <f>'дод 2'!P237</f>
        <v>0</v>
      </c>
      <c r="P189" s="75">
        <f>'дод 2'!Q237</f>
        <v>0</v>
      </c>
      <c r="Q189" s="75">
        <f>'дод 2'!R237</f>
        <v>0</v>
      </c>
      <c r="R189" s="75">
        <f>'дод 2'!S237</f>
        <v>0</v>
      </c>
      <c r="S189" s="75">
        <f>'дод 2'!T237</f>
        <v>0</v>
      </c>
      <c r="T189" s="75">
        <f>'дод 2'!U237</f>
        <v>0</v>
      </c>
      <c r="U189" s="75">
        <f>'дод 2'!V237</f>
        <v>0</v>
      </c>
      <c r="V189" s="75">
        <f>'дод 2'!W237</f>
        <v>0</v>
      </c>
      <c r="W189" s="75">
        <f>'дод 2'!X237</f>
        <v>0</v>
      </c>
      <c r="X189" s="75">
        <f>'дод 2'!Y237</f>
        <v>0</v>
      </c>
      <c r="Y189" s="168"/>
      <c r="Z189" s="75">
        <f>'дод 2'!AA237</f>
        <v>0</v>
      </c>
      <c r="AA189" s="75">
        <f>'дод 2'!AB237</f>
        <v>75000</v>
      </c>
      <c r="AB189" s="221"/>
    </row>
    <row r="190" spans="1:30" s="105" customFormat="1" ht="19.5" customHeight="1" x14ac:dyDescent="0.25">
      <c r="A190" s="73" t="s">
        <v>7</v>
      </c>
      <c r="B190" s="73" t="s">
        <v>79</v>
      </c>
      <c r="C190" s="56" t="s">
        <v>8</v>
      </c>
      <c r="D190" s="75">
        <f>'дод 2'!E44+'дод 2'!E103+'дод 2'!E193+'дод 2'!E238+'дод 2'!E163</f>
        <v>0</v>
      </c>
      <c r="E190" s="75">
        <f>'дод 2'!F44+'дод 2'!F103+'дод 2'!F193+'дод 2'!F238+'дод 2'!F163</f>
        <v>0</v>
      </c>
      <c r="F190" s="75">
        <f>'дод 2'!G44+'дод 2'!G103+'дод 2'!G193+'дод 2'!G238+'дод 2'!G163</f>
        <v>0</v>
      </c>
      <c r="G190" s="75">
        <f>'дод 2'!H44+'дод 2'!H103+'дод 2'!H193+'дод 2'!H238+'дод 2'!H163</f>
        <v>0</v>
      </c>
      <c r="H190" s="75">
        <f>'дод 2'!I44+'дод 2'!I103+'дод 2'!I193+'дод 2'!I238+'дод 2'!I163</f>
        <v>0</v>
      </c>
      <c r="I190" s="75">
        <f>'дод 2'!J44+'дод 2'!J103+'дод 2'!J193+'дод 2'!J238+'дод 2'!J163</f>
        <v>0</v>
      </c>
      <c r="J190" s="75">
        <f>'дод 2'!K44+'дод 2'!K103+'дод 2'!K193+'дод 2'!K238+'дод 2'!K163</f>
        <v>0</v>
      </c>
      <c r="K190" s="75">
        <f>'дод 2'!L44+'дод 2'!L103+'дод 2'!L193+'дод 2'!L238+'дод 2'!L163</f>
        <v>0</v>
      </c>
      <c r="L190" s="168"/>
      <c r="M190" s="75">
        <f>'дод 2'!N44+'дод 2'!N103+'дод 2'!N193+'дод 2'!N238+'дод 2'!N163</f>
        <v>2456700</v>
      </c>
      <c r="N190" s="75">
        <f>'дод 2'!O44+'дод 2'!O103+'дод 2'!O193+'дод 2'!O238+'дод 2'!O163</f>
        <v>0</v>
      </c>
      <c r="O190" s="75">
        <f>'дод 2'!P44+'дод 2'!P103+'дод 2'!P193+'дод 2'!P238+'дод 2'!P163</f>
        <v>2446300</v>
      </c>
      <c r="P190" s="75">
        <f>'дод 2'!Q44+'дод 2'!Q103+'дод 2'!Q193+'дод 2'!Q238+'дод 2'!Q163</f>
        <v>0</v>
      </c>
      <c r="Q190" s="75">
        <f>'дод 2'!R44+'дод 2'!R103+'дод 2'!R193+'дод 2'!R238+'дод 2'!R163</f>
        <v>0</v>
      </c>
      <c r="R190" s="75">
        <f>'дод 2'!S44+'дод 2'!S103+'дод 2'!S193+'дод 2'!S238+'дод 2'!S163</f>
        <v>10400</v>
      </c>
      <c r="S190" s="75">
        <f>'дод 2'!T44+'дод 2'!T103+'дод 2'!T193+'дод 2'!T238+'дод 2'!T163</f>
        <v>57835</v>
      </c>
      <c r="T190" s="75">
        <f>'дод 2'!U44+'дод 2'!U103+'дод 2'!U193+'дод 2'!U238+'дод 2'!U163</f>
        <v>0</v>
      </c>
      <c r="U190" s="75">
        <f>'дод 2'!V44+'дод 2'!V103+'дод 2'!V193+'дод 2'!V238+'дод 2'!V163</f>
        <v>57835</v>
      </c>
      <c r="V190" s="75">
        <f>'дод 2'!W44+'дод 2'!W103+'дод 2'!W193+'дод 2'!W238+'дод 2'!W163</f>
        <v>0</v>
      </c>
      <c r="W190" s="75">
        <f>'дод 2'!X44+'дод 2'!X103+'дод 2'!X193+'дод 2'!X238+'дод 2'!X163</f>
        <v>0</v>
      </c>
      <c r="X190" s="75">
        <f>'дод 2'!Y44+'дод 2'!Y103+'дод 2'!Y193+'дод 2'!Y238+'дод 2'!Y163</f>
        <v>0</v>
      </c>
      <c r="Y190" s="168">
        <f t="shared" si="32"/>
        <v>2.3541742988561891</v>
      </c>
      <c r="Z190" s="75">
        <f>'дод 2'!AA44+'дод 2'!AA103+'дод 2'!AA193+'дод 2'!AA238+'дод 2'!AA163</f>
        <v>57835</v>
      </c>
      <c r="AA190" s="75">
        <f>'дод 2'!AB44+'дод 2'!AB103+'дод 2'!AB193+'дод 2'!AB238+'дод 2'!AB163</f>
        <v>2456700</v>
      </c>
      <c r="AB190" s="221"/>
    </row>
    <row r="191" spans="1:30" s="105" customFormat="1" ht="21" customHeight="1" x14ac:dyDescent="0.25">
      <c r="A191" s="76" t="s">
        <v>82</v>
      </c>
      <c r="B191" s="76" t="s">
        <v>78</v>
      </c>
      <c r="C191" s="87" t="s">
        <v>9</v>
      </c>
      <c r="D191" s="72">
        <f>'дод 2'!E239</f>
        <v>6792629</v>
      </c>
      <c r="E191" s="72">
        <f>'дод 2'!F239</f>
        <v>6792629</v>
      </c>
      <c r="F191" s="72">
        <f>'дод 2'!G239</f>
        <v>0</v>
      </c>
      <c r="G191" s="72">
        <f>'дод 2'!H239</f>
        <v>0</v>
      </c>
      <c r="H191" s="72">
        <f>'дод 2'!I239</f>
        <v>0</v>
      </c>
      <c r="I191" s="72">
        <f>'дод 2'!J239</f>
        <v>0</v>
      </c>
      <c r="J191" s="72">
        <f>'дод 2'!K239</f>
        <v>0</v>
      </c>
      <c r="K191" s="72">
        <f>'дод 2'!L239</f>
        <v>0</v>
      </c>
      <c r="L191" s="167">
        <f t="shared" si="31"/>
        <v>0</v>
      </c>
      <c r="M191" s="72">
        <f>'дод 2'!N239</f>
        <v>0</v>
      </c>
      <c r="N191" s="72">
        <f>'дод 2'!O239</f>
        <v>0</v>
      </c>
      <c r="O191" s="72">
        <f>'дод 2'!P239</f>
        <v>0</v>
      </c>
      <c r="P191" s="72">
        <f>'дод 2'!Q239</f>
        <v>0</v>
      </c>
      <c r="Q191" s="72">
        <f>'дод 2'!R239</f>
        <v>0</v>
      </c>
      <c r="R191" s="72">
        <f>'дод 2'!S239</f>
        <v>0</v>
      </c>
      <c r="S191" s="72">
        <f>'дод 2'!T239</f>
        <v>0</v>
      </c>
      <c r="T191" s="72">
        <f>'дод 2'!U239</f>
        <v>0</v>
      </c>
      <c r="U191" s="72">
        <f>'дод 2'!V239</f>
        <v>0</v>
      </c>
      <c r="V191" s="72">
        <f>'дод 2'!W239</f>
        <v>0</v>
      </c>
      <c r="W191" s="72">
        <f>'дод 2'!X239</f>
        <v>0</v>
      </c>
      <c r="X191" s="72">
        <f>'дод 2'!Y239</f>
        <v>0</v>
      </c>
      <c r="Y191" s="167"/>
      <c r="Z191" s="72">
        <f>'дод 2'!AA239</f>
        <v>0</v>
      </c>
      <c r="AA191" s="72">
        <f>'дод 2'!AB239</f>
        <v>6792629</v>
      </c>
      <c r="AB191" s="221"/>
    </row>
    <row r="192" spans="1:30" s="105" customFormat="1" ht="21" customHeight="1" x14ac:dyDescent="0.25">
      <c r="A192" s="76">
        <v>8700</v>
      </c>
      <c r="B192" s="76"/>
      <c r="C192" s="87" t="s">
        <v>334</v>
      </c>
      <c r="D192" s="72">
        <f>D193</f>
        <v>444689297</v>
      </c>
      <c r="E192" s="72">
        <f t="shared" ref="E192:AA192" si="51">E193</f>
        <v>0</v>
      </c>
      <c r="F192" s="72">
        <f t="shared" si="51"/>
        <v>0</v>
      </c>
      <c r="G192" s="72">
        <f t="shared" si="51"/>
        <v>0</v>
      </c>
      <c r="H192" s="72">
        <f t="shared" si="51"/>
        <v>0</v>
      </c>
      <c r="I192" s="72">
        <f t="shared" si="51"/>
        <v>0</v>
      </c>
      <c r="J192" s="72">
        <f t="shared" si="51"/>
        <v>0</v>
      </c>
      <c r="K192" s="72">
        <f t="shared" si="51"/>
        <v>0</v>
      </c>
      <c r="L192" s="167">
        <f t="shared" si="31"/>
        <v>0</v>
      </c>
      <c r="M192" s="72">
        <f t="shared" si="51"/>
        <v>0</v>
      </c>
      <c r="N192" s="72">
        <f t="shared" si="51"/>
        <v>0</v>
      </c>
      <c r="O192" s="72">
        <f t="shared" si="51"/>
        <v>0</v>
      </c>
      <c r="P192" s="72">
        <f t="shared" si="51"/>
        <v>0</v>
      </c>
      <c r="Q192" s="72">
        <f t="shared" si="51"/>
        <v>0</v>
      </c>
      <c r="R192" s="72">
        <f t="shared" si="51"/>
        <v>0</v>
      </c>
      <c r="S192" s="72">
        <f t="shared" si="51"/>
        <v>0</v>
      </c>
      <c r="T192" s="72">
        <f t="shared" si="51"/>
        <v>0</v>
      </c>
      <c r="U192" s="72">
        <f t="shared" si="51"/>
        <v>0</v>
      </c>
      <c r="V192" s="72">
        <f t="shared" si="51"/>
        <v>0</v>
      </c>
      <c r="W192" s="72">
        <f t="shared" si="51"/>
        <v>0</v>
      </c>
      <c r="X192" s="72">
        <f t="shared" si="51"/>
        <v>0</v>
      </c>
      <c r="Y192" s="167"/>
      <c r="Z192" s="72">
        <f t="shared" si="51"/>
        <v>0</v>
      </c>
      <c r="AA192" s="72">
        <f t="shared" si="51"/>
        <v>444689297</v>
      </c>
      <c r="AB192" s="221"/>
    </row>
    <row r="193" spans="1:28" ht="25.5" customHeight="1" x14ac:dyDescent="0.25">
      <c r="A193" s="73">
        <v>8710</v>
      </c>
      <c r="B193" s="73" t="s">
        <v>80</v>
      </c>
      <c r="C193" s="56" t="s">
        <v>320</v>
      </c>
      <c r="D193" s="75">
        <f>'дод 2'!E240</f>
        <v>444689297</v>
      </c>
      <c r="E193" s="75">
        <f>'дод 2'!F240</f>
        <v>0</v>
      </c>
      <c r="F193" s="75">
        <f>'дод 2'!G240</f>
        <v>0</v>
      </c>
      <c r="G193" s="75">
        <f>'дод 2'!H240</f>
        <v>0</v>
      </c>
      <c r="H193" s="75">
        <f>'дод 2'!I240</f>
        <v>0</v>
      </c>
      <c r="I193" s="75">
        <f>'дод 2'!J240</f>
        <v>0</v>
      </c>
      <c r="J193" s="75">
        <f>'дод 2'!K240</f>
        <v>0</v>
      </c>
      <c r="K193" s="75">
        <f>'дод 2'!L240</f>
        <v>0</v>
      </c>
      <c r="L193" s="168">
        <f t="shared" si="31"/>
        <v>0</v>
      </c>
      <c r="M193" s="75">
        <f>'дод 2'!N240</f>
        <v>0</v>
      </c>
      <c r="N193" s="75">
        <f>'дод 2'!O240</f>
        <v>0</v>
      </c>
      <c r="O193" s="75">
        <f>'дод 2'!P240</f>
        <v>0</v>
      </c>
      <c r="P193" s="75">
        <f>'дод 2'!Q240</f>
        <v>0</v>
      </c>
      <c r="Q193" s="75">
        <f>'дод 2'!R240</f>
        <v>0</v>
      </c>
      <c r="R193" s="75">
        <f>'дод 2'!S240</f>
        <v>0</v>
      </c>
      <c r="S193" s="75">
        <f>'дод 2'!T240</f>
        <v>0</v>
      </c>
      <c r="T193" s="75">
        <f>'дод 2'!U240</f>
        <v>0</v>
      </c>
      <c r="U193" s="75">
        <f>'дод 2'!V240</f>
        <v>0</v>
      </c>
      <c r="V193" s="75">
        <f>'дод 2'!W240</f>
        <v>0</v>
      </c>
      <c r="W193" s="75">
        <f>'дод 2'!X240</f>
        <v>0</v>
      </c>
      <c r="X193" s="75">
        <f>'дод 2'!Y240</f>
        <v>0</v>
      </c>
      <c r="Y193" s="168"/>
      <c r="Z193" s="75">
        <f>'дод 2'!AA240</f>
        <v>0</v>
      </c>
      <c r="AA193" s="75">
        <f>'дод 2'!AB240</f>
        <v>444689297</v>
      </c>
      <c r="AB193" s="221"/>
    </row>
    <row r="194" spans="1:28" s="105" customFormat="1" ht="24" customHeight="1" x14ac:dyDescent="0.25">
      <c r="A194" s="76" t="s">
        <v>10</v>
      </c>
      <c r="B194" s="76"/>
      <c r="C194" s="87" t="s">
        <v>370</v>
      </c>
      <c r="D194" s="72">
        <f>D195+D197</f>
        <v>17326650</v>
      </c>
      <c r="E194" s="72">
        <f t="shared" ref="E194:AA194" si="52">E195+E197</f>
        <v>17326650</v>
      </c>
      <c r="F194" s="72">
        <f t="shared" si="52"/>
        <v>0</v>
      </c>
      <c r="G194" s="72">
        <f t="shared" si="52"/>
        <v>0</v>
      </c>
      <c r="H194" s="72">
        <f t="shared" si="52"/>
        <v>0</v>
      </c>
      <c r="I194" s="72">
        <f t="shared" si="52"/>
        <v>3822650</v>
      </c>
      <c r="J194" s="72">
        <f t="shared" si="52"/>
        <v>0</v>
      </c>
      <c r="K194" s="72">
        <f t="shared" si="52"/>
        <v>0</v>
      </c>
      <c r="L194" s="167">
        <f t="shared" si="31"/>
        <v>22.062256697053385</v>
      </c>
      <c r="M194" s="72">
        <f t="shared" si="52"/>
        <v>7040000</v>
      </c>
      <c r="N194" s="72">
        <f t="shared" si="52"/>
        <v>7040000</v>
      </c>
      <c r="O194" s="72">
        <f t="shared" si="52"/>
        <v>0</v>
      </c>
      <c r="P194" s="72">
        <f t="shared" si="52"/>
        <v>0</v>
      </c>
      <c r="Q194" s="72">
        <f t="shared" si="52"/>
        <v>0</v>
      </c>
      <c r="R194" s="72">
        <f t="shared" si="52"/>
        <v>7040000</v>
      </c>
      <c r="S194" s="72">
        <f t="shared" si="52"/>
        <v>6440000</v>
      </c>
      <c r="T194" s="72">
        <f t="shared" si="52"/>
        <v>6440000</v>
      </c>
      <c r="U194" s="72">
        <f t="shared" si="52"/>
        <v>0</v>
      </c>
      <c r="V194" s="72">
        <f t="shared" si="52"/>
        <v>0</v>
      </c>
      <c r="W194" s="72">
        <f t="shared" si="52"/>
        <v>0</v>
      </c>
      <c r="X194" s="72">
        <f t="shared" si="52"/>
        <v>6440000</v>
      </c>
      <c r="Y194" s="167">
        <f t="shared" si="32"/>
        <v>91.477272727272734</v>
      </c>
      <c r="Z194" s="72">
        <f t="shared" si="52"/>
        <v>10262650</v>
      </c>
      <c r="AA194" s="72">
        <f t="shared" si="52"/>
        <v>24366650</v>
      </c>
      <c r="AB194" s="221"/>
    </row>
    <row r="195" spans="1:28" s="105" customFormat="1" ht="57.75" customHeight="1" x14ac:dyDescent="0.25">
      <c r="A195" s="76" t="s">
        <v>11</v>
      </c>
      <c r="B195" s="32"/>
      <c r="C195" s="87" t="s">
        <v>271</v>
      </c>
      <c r="D195" s="72">
        <f>D196</f>
        <v>13555650</v>
      </c>
      <c r="E195" s="72">
        <f t="shared" ref="E195:AA195" si="53">E196</f>
        <v>13555650</v>
      </c>
      <c r="F195" s="72">
        <f t="shared" si="53"/>
        <v>0</v>
      </c>
      <c r="G195" s="72">
        <f t="shared" si="53"/>
        <v>0</v>
      </c>
      <c r="H195" s="72">
        <f t="shared" si="53"/>
        <v>0</v>
      </c>
      <c r="I195" s="72">
        <f t="shared" si="53"/>
        <v>51650</v>
      </c>
      <c r="J195" s="72">
        <f t="shared" si="53"/>
        <v>0</v>
      </c>
      <c r="K195" s="72">
        <f t="shared" si="53"/>
        <v>0</v>
      </c>
      <c r="L195" s="167">
        <f t="shared" si="31"/>
        <v>0.38102193550290842</v>
      </c>
      <c r="M195" s="72">
        <f t="shared" si="53"/>
        <v>600000</v>
      </c>
      <c r="N195" s="72">
        <f t="shared" si="53"/>
        <v>600000</v>
      </c>
      <c r="O195" s="72">
        <f t="shared" si="53"/>
        <v>0</v>
      </c>
      <c r="P195" s="72">
        <f t="shared" si="53"/>
        <v>0</v>
      </c>
      <c r="Q195" s="72">
        <f t="shared" si="53"/>
        <v>0</v>
      </c>
      <c r="R195" s="72">
        <f t="shared" si="53"/>
        <v>600000</v>
      </c>
      <c r="S195" s="72">
        <f t="shared" si="53"/>
        <v>0</v>
      </c>
      <c r="T195" s="72">
        <f t="shared" si="53"/>
        <v>0</v>
      </c>
      <c r="U195" s="72">
        <f t="shared" si="53"/>
        <v>0</v>
      </c>
      <c r="V195" s="72">
        <f t="shared" si="53"/>
        <v>0</v>
      </c>
      <c r="W195" s="72">
        <f t="shared" si="53"/>
        <v>0</v>
      </c>
      <c r="X195" s="72">
        <f t="shared" si="53"/>
        <v>0</v>
      </c>
      <c r="Y195" s="167">
        <f t="shared" si="32"/>
        <v>0</v>
      </c>
      <c r="Z195" s="72">
        <f t="shared" si="53"/>
        <v>51650</v>
      </c>
      <c r="AA195" s="72">
        <f t="shared" si="53"/>
        <v>14155650</v>
      </c>
      <c r="AB195" s="221"/>
    </row>
    <row r="196" spans="1:28" s="105" customFormat="1" ht="24" customHeight="1" x14ac:dyDescent="0.25">
      <c r="A196" s="73" t="s">
        <v>12</v>
      </c>
      <c r="B196" s="42" t="s">
        <v>37</v>
      </c>
      <c r="C196" s="74" t="s">
        <v>276</v>
      </c>
      <c r="D196" s="75">
        <f>'дод 2'!E148+'дод 2'!E194</f>
        <v>13555650</v>
      </c>
      <c r="E196" s="75">
        <f>'дод 2'!F148+'дод 2'!F194</f>
        <v>13555650</v>
      </c>
      <c r="F196" s="75">
        <f>'дод 2'!G148+'дод 2'!G194</f>
        <v>0</v>
      </c>
      <c r="G196" s="75">
        <f>'дод 2'!H148+'дод 2'!H194</f>
        <v>0</v>
      </c>
      <c r="H196" s="75">
        <f>'дод 2'!I148+'дод 2'!I194</f>
        <v>0</v>
      </c>
      <c r="I196" s="75">
        <f>'дод 2'!J148+'дод 2'!J194</f>
        <v>51650</v>
      </c>
      <c r="J196" s="75">
        <f>'дод 2'!K148+'дод 2'!K194</f>
        <v>0</v>
      </c>
      <c r="K196" s="75">
        <f>'дод 2'!L148+'дод 2'!L194</f>
        <v>0</v>
      </c>
      <c r="L196" s="168">
        <f t="shared" si="31"/>
        <v>0.38102193550290842</v>
      </c>
      <c r="M196" s="75">
        <f>'дод 2'!N148+'дод 2'!N194</f>
        <v>600000</v>
      </c>
      <c r="N196" s="75">
        <f>'дод 2'!O148+'дод 2'!O194</f>
        <v>600000</v>
      </c>
      <c r="O196" s="75">
        <f>'дод 2'!P148+'дод 2'!P194</f>
        <v>0</v>
      </c>
      <c r="P196" s="75">
        <f>'дод 2'!Q148+'дод 2'!Q194</f>
        <v>0</v>
      </c>
      <c r="Q196" s="75">
        <f>'дод 2'!R148+'дод 2'!R194</f>
        <v>0</v>
      </c>
      <c r="R196" s="75">
        <f>'дод 2'!S148+'дод 2'!S194</f>
        <v>600000</v>
      </c>
      <c r="S196" s="75">
        <f>'дод 2'!T148+'дод 2'!T194</f>
        <v>0</v>
      </c>
      <c r="T196" s="75">
        <f>'дод 2'!U148+'дод 2'!U194</f>
        <v>0</v>
      </c>
      <c r="U196" s="75">
        <f>'дод 2'!V148+'дод 2'!V194</f>
        <v>0</v>
      </c>
      <c r="V196" s="75">
        <f>'дод 2'!W148+'дод 2'!W194</f>
        <v>0</v>
      </c>
      <c r="W196" s="75">
        <f>'дод 2'!X148+'дод 2'!X194</f>
        <v>0</v>
      </c>
      <c r="X196" s="75">
        <f>'дод 2'!Y148+'дод 2'!Y194</f>
        <v>0</v>
      </c>
      <c r="Y196" s="168">
        <f t="shared" si="32"/>
        <v>0</v>
      </c>
      <c r="Z196" s="75">
        <f>'дод 2'!AA148+'дод 2'!AA194</f>
        <v>51650</v>
      </c>
      <c r="AA196" s="75">
        <f>'дод 2'!AB148+'дод 2'!AB194</f>
        <v>14155650</v>
      </c>
      <c r="AB196" s="221"/>
    </row>
    <row r="197" spans="1:28" s="105" customFormat="1" ht="51" customHeight="1" x14ac:dyDescent="0.25">
      <c r="A197" s="76">
        <v>9800</v>
      </c>
      <c r="B197" s="47" t="s">
        <v>37</v>
      </c>
      <c r="C197" s="71" t="s">
        <v>367</v>
      </c>
      <c r="D197" s="72">
        <f>'дод 2'!E45</f>
        <v>3771000</v>
      </c>
      <c r="E197" s="72">
        <f>'дод 2'!F45</f>
        <v>3771000</v>
      </c>
      <c r="F197" s="72">
        <f>'дод 2'!G45</f>
        <v>0</v>
      </c>
      <c r="G197" s="72">
        <f>'дод 2'!H45</f>
        <v>0</v>
      </c>
      <c r="H197" s="72">
        <f>'дод 2'!I45</f>
        <v>0</v>
      </c>
      <c r="I197" s="72">
        <f>'дод 2'!J45</f>
        <v>3771000</v>
      </c>
      <c r="J197" s="72">
        <f>'дод 2'!K45</f>
        <v>0</v>
      </c>
      <c r="K197" s="72">
        <f>'дод 2'!L45</f>
        <v>0</v>
      </c>
      <c r="L197" s="167">
        <f t="shared" si="31"/>
        <v>100</v>
      </c>
      <c r="M197" s="72">
        <f>'дод 2'!N45</f>
        <v>6440000</v>
      </c>
      <c r="N197" s="72">
        <f>'дод 2'!O45</f>
        <v>6440000</v>
      </c>
      <c r="O197" s="72">
        <f>'дод 2'!P45</f>
        <v>0</v>
      </c>
      <c r="P197" s="72">
        <f>'дод 2'!Q45</f>
        <v>0</v>
      </c>
      <c r="Q197" s="72">
        <f>'дод 2'!R45</f>
        <v>0</v>
      </c>
      <c r="R197" s="72">
        <f>'дод 2'!S45</f>
        <v>6440000</v>
      </c>
      <c r="S197" s="72">
        <f>'дод 2'!T45</f>
        <v>6440000</v>
      </c>
      <c r="T197" s="72">
        <f>'дод 2'!U45</f>
        <v>6440000</v>
      </c>
      <c r="U197" s="72">
        <f>'дод 2'!V45</f>
        <v>0</v>
      </c>
      <c r="V197" s="72">
        <f>'дод 2'!W45</f>
        <v>0</v>
      </c>
      <c r="W197" s="72">
        <f>'дод 2'!X45</f>
        <v>0</v>
      </c>
      <c r="X197" s="72">
        <f>'дод 2'!Y45</f>
        <v>6440000</v>
      </c>
      <c r="Y197" s="167">
        <f t="shared" si="32"/>
        <v>100</v>
      </c>
      <c r="Z197" s="72">
        <f>'дод 2'!AA45</f>
        <v>10211000</v>
      </c>
      <c r="AA197" s="72">
        <f>'дод 2'!AB45</f>
        <v>10211000</v>
      </c>
      <c r="AB197" s="221"/>
    </row>
    <row r="198" spans="1:28" s="186" customFormat="1" ht="27.75" customHeight="1" x14ac:dyDescent="0.25">
      <c r="A198" s="181"/>
      <c r="B198" s="181"/>
      <c r="C198" s="182" t="s">
        <v>514</v>
      </c>
      <c r="D198" s="183">
        <f t="shared" ref="D198" si="54">D17+D20+D76+D84+D121+D126+D133+D146+D178+D194</f>
        <v>3310274357</v>
      </c>
      <c r="E198" s="183">
        <f t="shared" ref="E198:AA198" si="55">E17+E20+E76+E84+E121+E126+E133+E146+E178+E194</f>
        <v>2704482860</v>
      </c>
      <c r="F198" s="183">
        <f t="shared" si="55"/>
        <v>1309227275</v>
      </c>
      <c r="G198" s="183">
        <f t="shared" si="55"/>
        <v>232706458</v>
      </c>
      <c r="H198" s="183">
        <f t="shared" si="55"/>
        <v>161102200</v>
      </c>
      <c r="I198" s="183">
        <f t="shared" si="55"/>
        <v>724035520.75999987</v>
      </c>
      <c r="J198" s="183">
        <f t="shared" si="55"/>
        <v>349270603.70999998</v>
      </c>
      <c r="K198" s="183">
        <f t="shared" si="55"/>
        <v>68405541.770000011</v>
      </c>
      <c r="L198" s="184">
        <f t="shared" si="31"/>
        <v>21.872371975118433</v>
      </c>
      <c r="M198" s="183">
        <f t="shared" si="55"/>
        <v>987711061.56000006</v>
      </c>
      <c r="N198" s="183">
        <f t="shared" si="55"/>
        <v>869722315.05999994</v>
      </c>
      <c r="O198" s="183">
        <f t="shared" si="55"/>
        <v>95328200</v>
      </c>
      <c r="P198" s="183">
        <f t="shared" si="55"/>
        <v>13318380</v>
      </c>
      <c r="Q198" s="183">
        <f t="shared" si="55"/>
        <v>7188778</v>
      </c>
      <c r="R198" s="183">
        <f t="shared" si="55"/>
        <v>892382861.56000006</v>
      </c>
      <c r="S198" s="183">
        <f t="shared" si="55"/>
        <v>74514247.61999999</v>
      </c>
      <c r="T198" s="183">
        <f t="shared" si="55"/>
        <v>25445926.719999999</v>
      </c>
      <c r="U198" s="183">
        <f t="shared" si="55"/>
        <v>42587751.119999997</v>
      </c>
      <c r="V198" s="183">
        <f t="shared" si="55"/>
        <v>4339692.8499999996</v>
      </c>
      <c r="W198" s="183">
        <f t="shared" si="55"/>
        <v>1127312.0999999999</v>
      </c>
      <c r="X198" s="183">
        <f t="shared" si="55"/>
        <v>31926496.5</v>
      </c>
      <c r="Y198" s="184">
        <f t="shared" si="32"/>
        <v>7.5441341623036493</v>
      </c>
      <c r="Z198" s="183">
        <f t="shared" si="55"/>
        <v>798549768.38</v>
      </c>
      <c r="AA198" s="183">
        <f t="shared" si="55"/>
        <v>4297985418.5599995</v>
      </c>
      <c r="AB198" s="185"/>
    </row>
    <row r="199" spans="1:28" s="109" customFormat="1" ht="21" customHeight="1" x14ac:dyDescent="0.25">
      <c r="A199" s="114"/>
      <c r="B199" s="114"/>
      <c r="C199" s="38" t="s">
        <v>389</v>
      </c>
      <c r="D199" s="78">
        <f>D86+D21+D22+D23+D24+D25+D26+D27+D87+D29+D28+D134</f>
        <v>439407063.82999998</v>
      </c>
      <c r="E199" s="78">
        <f t="shared" ref="E199:AA199" si="56">E86+E21+E22+E23+E24+E25+E26+E27+E87+E29+E28+E134</f>
        <v>439407063.82999998</v>
      </c>
      <c r="F199" s="78">
        <f t="shared" si="56"/>
        <v>297223700</v>
      </c>
      <c r="G199" s="78">
        <f t="shared" si="56"/>
        <v>0</v>
      </c>
      <c r="H199" s="78">
        <f t="shared" si="56"/>
        <v>0</v>
      </c>
      <c r="I199" s="78">
        <f t="shared" si="56"/>
        <v>156413878.94</v>
      </c>
      <c r="J199" s="78">
        <f t="shared" si="56"/>
        <v>103799117.84999999</v>
      </c>
      <c r="K199" s="78">
        <f t="shared" si="56"/>
        <v>0</v>
      </c>
      <c r="L199" s="169">
        <f t="shared" si="31"/>
        <v>35.596578165278245</v>
      </c>
      <c r="M199" s="78">
        <f t="shared" si="56"/>
        <v>390429928.67000002</v>
      </c>
      <c r="N199" s="78">
        <f t="shared" si="56"/>
        <v>347028828.67000002</v>
      </c>
      <c r="O199" s="78">
        <f t="shared" si="56"/>
        <v>28319400</v>
      </c>
      <c r="P199" s="78">
        <f t="shared" si="56"/>
        <v>0</v>
      </c>
      <c r="Q199" s="78">
        <f t="shared" si="56"/>
        <v>0</v>
      </c>
      <c r="R199" s="78">
        <f t="shared" si="56"/>
        <v>362110528.67000002</v>
      </c>
      <c r="S199" s="78">
        <f t="shared" si="56"/>
        <v>8080850.1200000001</v>
      </c>
      <c r="T199" s="78">
        <f t="shared" si="56"/>
        <v>4618853.38</v>
      </c>
      <c r="U199" s="78">
        <f t="shared" si="56"/>
        <v>3461996.74</v>
      </c>
      <c r="V199" s="78">
        <f t="shared" si="56"/>
        <v>0</v>
      </c>
      <c r="W199" s="78">
        <f t="shared" si="56"/>
        <v>0</v>
      </c>
      <c r="X199" s="78">
        <f t="shared" si="56"/>
        <v>4618853.38</v>
      </c>
      <c r="Y199" s="169">
        <f t="shared" si="32"/>
        <v>2.0697312184871239</v>
      </c>
      <c r="Z199" s="78">
        <f t="shared" si="56"/>
        <v>164494729.05999997</v>
      </c>
      <c r="AA199" s="78">
        <f t="shared" si="56"/>
        <v>829836992.5</v>
      </c>
      <c r="AB199" s="70"/>
    </row>
    <row r="200" spans="1:28" s="109" customFormat="1" ht="78.75" x14ac:dyDescent="0.25">
      <c r="A200" s="114"/>
      <c r="B200" s="114"/>
      <c r="C200" s="38" t="s">
        <v>393</v>
      </c>
      <c r="D200" s="78">
        <f>D86</f>
        <v>71303000</v>
      </c>
      <c r="E200" s="78">
        <f t="shared" ref="E200:AA200" si="57">E86</f>
        <v>71303000</v>
      </c>
      <c r="F200" s="78">
        <f t="shared" si="57"/>
        <v>0</v>
      </c>
      <c r="G200" s="78">
        <f t="shared" si="57"/>
        <v>0</v>
      </c>
      <c r="H200" s="78">
        <f t="shared" si="57"/>
        <v>0</v>
      </c>
      <c r="I200" s="78">
        <f t="shared" si="57"/>
        <v>27212871.260000002</v>
      </c>
      <c r="J200" s="78">
        <f t="shared" si="57"/>
        <v>0</v>
      </c>
      <c r="K200" s="78">
        <f t="shared" si="57"/>
        <v>0</v>
      </c>
      <c r="L200" s="169">
        <f t="shared" si="31"/>
        <v>38.165114034472602</v>
      </c>
      <c r="M200" s="78">
        <f t="shared" si="57"/>
        <v>0</v>
      </c>
      <c r="N200" s="78">
        <f t="shared" si="57"/>
        <v>0</v>
      </c>
      <c r="O200" s="78">
        <f t="shared" si="57"/>
        <v>0</v>
      </c>
      <c r="P200" s="78">
        <f t="shared" si="57"/>
        <v>0</v>
      </c>
      <c r="Q200" s="78">
        <f t="shared" si="57"/>
        <v>0</v>
      </c>
      <c r="R200" s="78">
        <f t="shared" si="57"/>
        <v>0</v>
      </c>
      <c r="S200" s="78">
        <f t="shared" si="57"/>
        <v>0</v>
      </c>
      <c r="T200" s="78">
        <f t="shared" si="57"/>
        <v>0</v>
      </c>
      <c r="U200" s="78">
        <f t="shared" si="57"/>
        <v>0</v>
      </c>
      <c r="V200" s="78">
        <f t="shared" si="57"/>
        <v>0</v>
      </c>
      <c r="W200" s="78">
        <f t="shared" si="57"/>
        <v>0</v>
      </c>
      <c r="X200" s="78">
        <f t="shared" si="57"/>
        <v>0</v>
      </c>
      <c r="Y200" s="169"/>
      <c r="Z200" s="78">
        <f t="shared" si="57"/>
        <v>27212871.260000002</v>
      </c>
      <c r="AA200" s="78">
        <f t="shared" si="57"/>
        <v>71303000</v>
      </c>
      <c r="AB200" s="70"/>
    </row>
    <row r="201" spans="1:28" s="109" customFormat="1" ht="47.25" x14ac:dyDescent="0.25">
      <c r="A201" s="114"/>
      <c r="B201" s="114"/>
      <c r="C201" s="38" t="s">
        <v>362</v>
      </c>
      <c r="D201" s="78">
        <f t="shared" ref="D201" si="58">D30+D88+D147</f>
        <v>3966124</v>
      </c>
      <c r="E201" s="78">
        <f t="shared" ref="E201:AA201" si="59">E30+E88+E147</f>
        <v>3966124</v>
      </c>
      <c r="F201" s="78">
        <f t="shared" si="59"/>
        <v>1528675</v>
      </c>
      <c r="G201" s="78">
        <f t="shared" si="59"/>
        <v>0</v>
      </c>
      <c r="H201" s="78">
        <f t="shared" si="59"/>
        <v>0</v>
      </c>
      <c r="I201" s="78">
        <f t="shared" si="59"/>
        <v>1062809.79</v>
      </c>
      <c r="J201" s="78">
        <f t="shared" si="59"/>
        <v>426880.62</v>
      </c>
      <c r="K201" s="78">
        <f t="shared" si="59"/>
        <v>0</v>
      </c>
      <c r="L201" s="169">
        <f t="shared" si="31"/>
        <v>26.797190153409222</v>
      </c>
      <c r="M201" s="78">
        <f t="shared" si="59"/>
        <v>6564069.9000000004</v>
      </c>
      <c r="N201" s="78">
        <f t="shared" si="59"/>
        <v>0</v>
      </c>
      <c r="O201" s="78">
        <f t="shared" si="59"/>
        <v>0</v>
      </c>
      <c r="P201" s="78">
        <f t="shared" si="59"/>
        <v>0</v>
      </c>
      <c r="Q201" s="78">
        <f t="shared" si="59"/>
        <v>0</v>
      </c>
      <c r="R201" s="78">
        <f t="shared" si="59"/>
        <v>6564069.9000000004</v>
      </c>
      <c r="S201" s="78">
        <f t="shared" si="59"/>
        <v>0</v>
      </c>
      <c r="T201" s="78">
        <f t="shared" si="59"/>
        <v>0</v>
      </c>
      <c r="U201" s="78">
        <f t="shared" si="59"/>
        <v>0</v>
      </c>
      <c r="V201" s="78">
        <f t="shared" si="59"/>
        <v>0</v>
      </c>
      <c r="W201" s="78">
        <f t="shared" si="59"/>
        <v>0</v>
      </c>
      <c r="X201" s="78">
        <f t="shared" si="59"/>
        <v>0</v>
      </c>
      <c r="Y201" s="169">
        <f t="shared" si="32"/>
        <v>0</v>
      </c>
      <c r="Z201" s="78">
        <f t="shared" si="59"/>
        <v>1062809.79</v>
      </c>
      <c r="AA201" s="78">
        <f t="shared" si="59"/>
        <v>10530193.9</v>
      </c>
      <c r="AB201" s="70"/>
    </row>
    <row r="202" spans="1:28" s="109" customFormat="1" x14ac:dyDescent="0.25">
      <c r="A202" s="114"/>
      <c r="B202" s="114"/>
      <c r="C202" s="38" t="s">
        <v>363</v>
      </c>
      <c r="D202" s="78">
        <f>D85+D31+D179</f>
        <v>1936957</v>
      </c>
      <c r="E202" s="78">
        <f t="shared" ref="E202:AA202" si="60">E85+E31+E179</f>
        <v>1936957</v>
      </c>
      <c r="F202" s="78">
        <f t="shared" si="60"/>
        <v>422100</v>
      </c>
      <c r="G202" s="78">
        <f t="shared" si="60"/>
        <v>0</v>
      </c>
      <c r="H202" s="78">
        <f t="shared" si="60"/>
        <v>0</v>
      </c>
      <c r="I202" s="78">
        <f t="shared" si="60"/>
        <v>345375.77</v>
      </c>
      <c r="J202" s="78">
        <f t="shared" si="60"/>
        <v>53400</v>
      </c>
      <c r="K202" s="78">
        <f t="shared" si="60"/>
        <v>0</v>
      </c>
      <c r="L202" s="169">
        <f t="shared" si="31"/>
        <v>17.830843431217112</v>
      </c>
      <c r="M202" s="78">
        <f t="shared" si="60"/>
        <v>4500000</v>
      </c>
      <c r="N202" s="78">
        <f t="shared" si="60"/>
        <v>4500000</v>
      </c>
      <c r="O202" s="78">
        <f t="shared" si="60"/>
        <v>0</v>
      </c>
      <c r="P202" s="78">
        <f t="shared" si="60"/>
        <v>0</v>
      </c>
      <c r="Q202" s="78">
        <f t="shared" si="60"/>
        <v>0</v>
      </c>
      <c r="R202" s="78">
        <f t="shared" si="60"/>
        <v>4500000</v>
      </c>
      <c r="S202" s="78">
        <f t="shared" si="60"/>
        <v>0</v>
      </c>
      <c r="T202" s="78">
        <f t="shared" si="60"/>
        <v>0</v>
      </c>
      <c r="U202" s="78">
        <f t="shared" si="60"/>
        <v>0</v>
      </c>
      <c r="V202" s="78">
        <f t="shared" si="60"/>
        <v>0</v>
      </c>
      <c r="W202" s="78">
        <f t="shared" si="60"/>
        <v>0</v>
      </c>
      <c r="X202" s="78">
        <f t="shared" si="60"/>
        <v>0</v>
      </c>
      <c r="Y202" s="169">
        <f t="shared" si="32"/>
        <v>0</v>
      </c>
      <c r="Z202" s="78">
        <f t="shared" si="60"/>
        <v>345375.77</v>
      </c>
      <c r="AA202" s="78">
        <f t="shared" si="60"/>
        <v>6436957</v>
      </c>
      <c r="AB202" s="70"/>
    </row>
    <row r="203" spans="1:28" s="109" customFormat="1" ht="23.25" customHeight="1" x14ac:dyDescent="0.25">
      <c r="A203" s="77"/>
      <c r="B203" s="77"/>
      <c r="C203" s="38" t="s">
        <v>289</v>
      </c>
      <c r="D203" s="78">
        <f>D148+D149</f>
        <v>0</v>
      </c>
      <c r="E203" s="78">
        <f t="shared" ref="E203:AA203" si="61">E148+E149</f>
        <v>0</v>
      </c>
      <c r="F203" s="78">
        <f t="shared" si="61"/>
        <v>0</v>
      </c>
      <c r="G203" s="78">
        <f t="shared" si="61"/>
        <v>0</v>
      </c>
      <c r="H203" s="78">
        <f t="shared" si="61"/>
        <v>0</v>
      </c>
      <c r="I203" s="78">
        <f t="shared" si="61"/>
        <v>0</v>
      </c>
      <c r="J203" s="78">
        <f t="shared" si="61"/>
        <v>0</v>
      </c>
      <c r="K203" s="78">
        <f t="shared" si="61"/>
        <v>0</v>
      </c>
      <c r="L203" s="169"/>
      <c r="M203" s="78">
        <f t="shared" si="61"/>
        <v>252062997.38999999</v>
      </c>
      <c r="N203" s="78">
        <f t="shared" si="61"/>
        <v>252062997.38999999</v>
      </c>
      <c r="O203" s="78">
        <f t="shared" si="61"/>
        <v>0</v>
      </c>
      <c r="P203" s="78">
        <f t="shared" si="61"/>
        <v>0</v>
      </c>
      <c r="Q203" s="78">
        <f t="shared" si="61"/>
        <v>0</v>
      </c>
      <c r="R203" s="78">
        <f t="shared" si="61"/>
        <v>252062997.38999999</v>
      </c>
      <c r="S203" s="78">
        <f t="shared" si="61"/>
        <v>0</v>
      </c>
      <c r="T203" s="78">
        <f t="shared" si="61"/>
        <v>0</v>
      </c>
      <c r="U203" s="78">
        <f t="shared" si="61"/>
        <v>0</v>
      </c>
      <c r="V203" s="78">
        <f t="shared" si="61"/>
        <v>0</v>
      </c>
      <c r="W203" s="78">
        <f t="shared" si="61"/>
        <v>0</v>
      </c>
      <c r="X203" s="78">
        <f t="shared" si="61"/>
        <v>0</v>
      </c>
      <c r="Y203" s="169">
        <f t="shared" si="32"/>
        <v>0</v>
      </c>
      <c r="Z203" s="78">
        <f t="shared" si="61"/>
        <v>0</v>
      </c>
      <c r="AA203" s="78">
        <f t="shared" si="61"/>
        <v>252062997.38999999</v>
      </c>
      <c r="AB203" s="70"/>
    </row>
    <row r="204" spans="1:28" s="109" customFormat="1" ht="174.75" customHeight="1" x14ac:dyDescent="0.25">
      <c r="A204" s="93"/>
      <c r="B204" s="93"/>
      <c r="C204" s="94"/>
      <c r="D204" s="95"/>
      <c r="E204" s="95"/>
      <c r="F204" s="95"/>
      <c r="G204" s="95"/>
      <c r="H204" s="95"/>
      <c r="I204" s="95"/>
      <c r="J204" s="95"/>
      <c r="K204" s="95"/>
      <c r="L204" s="171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171"/>
      <c r="Z204" s="95"/>
      <c r="AA204" s="95"/>
      <c r="AB204" s="70"/>
    </row>
    <row r="205" spans="1:28" s="115" customFormat="1" ht="66.75" customHeight="1" x14ac:dyDescent="0.4">
      <c r="A205" s="211" t="s">
        <v>511</v>
      </c>
      <c r="B205" s="211"/>
      <c r="C205" s="211"/>
      <c r="D205" s="211"/>
      <c r="E205" s="211"/>
      <c r="F205" s="211"/>
      <c r="G205" s="139"/>
      <c r="H205" s="139"/>
      <c r="I205" s="139"/>
      <c r="J205" s="139"/>
      <c r="K205" s="139"/>
      <c r="L205" s="172"/>
      <c r="M205" s="140"/>
      <c r="N205" s="139"/>
      <c r="O205" s="139"/>
      <c r="P205" s="139"/>
      <c r="Q205" s="139"/>
      <c r="R205" s="139"/>
      <c r="S205" s="139"/>
      <c r="T205" s="141"/>
      <c r="U205" s="141"/>
      <c r="V205" s="141"/>
      <c r="W205" s="141"/>
      <c r="X205" s="212" t="s">
        <v>512</v>
      </c>
      <c r="Y205" s="212"/>
      <c r="Z205" s="212"/>
      <c r="AA205" s="212"/>
      <c r="AB205" s="70"/>
    </row>
    <row r="206" spans="1:28" ht="44.25" x14ac:dyDescent="0.25">
      <c r="A206" s="142"/>
      <c r="B206" s="142"/>
      <c r="C206" s="142"/>
      <c r="D206" s="142"/>
      <c r="E206" s="142"/>
      <c r="F206" s="142"/>
      <c r="G206" s="139"/>
      <c r="H206" s="139"/>
      <c r="I206" s="139"/>
      <c r="J206" s="139"/>
      <c r="K206" s="139"/>
      <c r="L206" s="172"/>
      <c r="M206" s="140"/>
      <c r="N206" s="139"/>
      <c r="O206" s="139"/>
      <c r="P206" s="139"/>
      <c r="Q206" s="139"/>
      <c r="R206" s="139"/>
      <c r="S206" s="139"/>
      <c r="T206" s="141"/>
      <c r="U206" s="141"/>
      <c r="V206" s="141"/>
      <c r="W206" s="141"/>
      <c r="X206" s="143"/>
      <c r="Y206" s="177"/>
      <c r="Z206" s="144"/>
      <c r="AA206" s="145"/>
      <c r="AB206" s="70"/>
    </row>
    <row r="207" spans="1:28" ht="38.25" x14ac:dyDescent="0.25">
      <c r="A207" s="146" t="s">
        <v>513</v>
      </c>
      <c r="B207" s="6"/>
      <c r="C207" s="6"/>
      <c r="D207" s="7"/>
      <c r="E207" s="139"/>
      <c r="F207" s="139"/>
      <c r="G207" s="139"/>
      <c r="H207" s="139"/>
      <c r="I207" s="139"/>
      <c r="J207" s="139"/>
      <c r="K207" s="139"/>
      <c r="L207" s="172"/>
      <c r="M207" s="140"/>
      <c r="N207" s="139"/>
      <c r="O207" s="147"/>
      <c r="P207" s="139"/>
      <c r="Q207" s="139"/>
      <c r="R207" s="139"/>
      <c r="S207" s="139"/>
      <c r="T207" s="141"/>
      <c r="U207" s="141"/>
      <c r="V207" s="141"/>
      <c r="W207" s="141"/>
      <c r="X207" s="141"/>
      <c r="Y207" s="178"/>
      <c r="Z207" s="148"/>
      <c r="AA207" s="149"/>
      <c r="AB207" s="70"/>
    </row>
    <row r="208" spans="1:28" x14ac:dyDescent="0.25">
      <c r="AB208" s="70"/>
    </row>
    <row r="209" spans="28:28" ht="18.75" x14ac:dyDescent="0.25">
      <c r="AB209" s="70">
        <v>9</v>
      </c>
    </row>
    <row r="210" spans="28:28" x14ac:dyDescent="0.25">
      <c r="AB210" s="70"/>
    </row>
    <row r="211" spans="28:28" x14ac:dyDescent="0.25">
      <c r="AB211" s="70"/>
    </row>
    <row r="212" spans="28:28" x14ac:dyDescent="0.25">
      <c r="AB212" s="70"/>
    </row>
    <row r="213" spans="28:28" x14ac:dyDescent="0.25">
      <c r="AB213" s="70"/>
    </row>
    <row r="214" spans="28:28" x14ac:dyDescent="0.25">
      <c r="AB214" s="70"/>
    </row>
    <row r="215" spans="28:28" x14ac:dyDescent="0.25">
      <c r="AB215" s="70"/>
    </row>
    <row r="216" spans="28:28" x14ac:dyDescent="0.25">
      <c r="AB216" s="70"/>
    </row>
    <row r="217" spans="28:28" x14ac:dyDescent="0.25">
      <c r="AB217" s="70"/>
    </row>
    <row r="218" spans="28:28" x14ac:dyDescent="0.25">
      <c r="AB218" s="70"/>
    </row>
    <row r="219" spans="28:28" x14ac:dyDescent="0.25">
      <c r="AB219" s="70"/>
    </row>
    <row r="220" spans="28:28" x14ac:dyDescent="0.25">
      <c r="AB220" s="70"/>
    </row>
    <row r="221" spans="28:28" x14ac:dyDescent="0.25">
      <c r="AB221" s="70"/>
    </row>
    <row r="222" spans="28:28" x14ac:dyDescent="0.25">
      <c r="AB222" s="70"/>
    </row>
    <row r="223" spans="28:28" x14ac:dyDescent="0.25">
      <c r="AB223" s="70"/>
    </row>
    <row r="224" spans="28:28" x14ac:dyDescent="0.25">
      <c r="AB224" s="70"/>
    </row>
    <row r="225" spans="28:28" x14ac:dyDescent="0.25">
      <c r="AB225" s="70"/>
    </row>
    <row r="226" spans="28:28" x14ac:dyDescent="0.25">
      <c r="AB226" s="70"/>
    </row>
    <row r="227" spans="28:28" x14ac:dyDescent="0.25">
      <c r="AB227" s="70"/>
    </row>
    <row r="228" spans="28:28" x14ac:dyDescent="0.25">
      <c r="AB228" s="70"/>
    </row>
    <row r="229" spans="28:28" x14ac:dyDescent="0.25">
      <c r="AB229" s="70"/>
    </row>
    <row r="230" spans="28:28" x14ac:dyDescent="0.25">
      <c r="AB230" s="70"/>
    </row>
    <row r="231" spans="28:28" x14ac:dyDescent="0.25">
      <c r="AB231" s="70"/>
    </row>
    <row r="232" spans="28:28" x14ac:dyDescent="0.25">
      <c r="AB232" s="70"/>
    </row>
    <row r="233" spans="28:28" x14ac:dyDescent="0.25">
      <c r="AB233" s="70"/>
    </row>
    <row r="250" spans="1:28" s="119" customFormat="1" x14ac:dyDescent="0.25">
      <c r="A250" s="150"/>
      <c r="C250" s="151"/>
      <c r="D250" s="120"/>
      <c r="E250" s="152"/>
      <c r="F250" s="152"/>
      <c r="G250" s="152"/>
      <c r="H250" s="152"/>
      <c r="I250" s="120"/>
      <c r="J250" s="152"/>
      <c r="K250" s="152"/>
      <c r="L250" s="173"/>
      <c r="M250" s="120"/>
      <c r="N250" s="152"/>
      <c r="O250" s="152"/>
      <c r="P250" s="152"/>
      <c r="Q250" s="152"/>
      <c r="R250" s="152"/>
      <c r="S250" s="152"/>
      <c r="T250" s="152"/>
      <c r="U250" s="120"/>
      <c r="V250" s="152"/>
      <c r="W250" s="152"/>
      <c r="X250" s="152"/>
      <c r="Y250" s="173"/>
      <c r="Z250" s="120"/>
      <c r="AA250" s="152"/>
      <c r="AB250" s="153"/>
    </row>
    <row r="251" spans="1:28" x14ac:dyDescent="0.25">
      <c r="E251" s="103">
        <f>E250-E244</f>
        <v>0</v>
      </c>
      <c r="F251" s="103">
        <f t="shared" ref="F251:AA251" si="62">F250-F244</f>
        <v>0</v>
      </c>
      <c r="G251" s="103">
        <f t="shared" si="62"/>
        <v>0</v>
      </c>
      <c r="H251" s="103">
        <f t="shared" si="62"/>
        <v>0</v>
      </c>
      <c r="I251" s="103">
        <f t="shared" si="62"/>
        <v>0</v>
      </c>
      <c r="J251" s="103">
        <f t="shared" si="62"/>
        <v>0</v>
      </c>
      <c r="K251" s="103">
        <f t="shared" si="62"/>
        <v>0</v>
      </c>
      <c r="L251" s="166">
        <f t="shared" si="62"/>
        <v>0</v>
      </c>
      <c r="N251" s="103">
        <f t="shared" si="62"/>
        <v>0</v>
      </c>
      <c r="O251" s="103">
        <f t="shared" si="62"/>
        <v>0</v>
      </c>
      <c r="P251" s="103">
        <f t="shared" si="62"/>
        <v>0</v>
      </c>
      <c r="Q251" s="103">
        <f t="shared" si="62"/>
        <v>0</v>
      </c>
      <c r="R251" s="103">
        <f t="shared" si="62"/>
        <v>0</v>
      </c>
      <c r="S251" s="103">
        <f t="shared" si="62"/>
        <v>0</v>
      </c>
      <c r="T251" s="103">
        <f t="shared" si="62"/>
        <v>0</v>
      </c>
      <c r="U251" s="103">
        <f t="shared" si="62"/>
        <v>0</v>
      </c>
      <c r="V251" s="103">
        <f t="shared" si="62"/>
        <v>0</v>
      </c>
      <c r="W251" s="103">
        <f t="shared" si="62"/>
        <v>0</v>
      </c>
      <c r="X251" s="103">
        <f t="shared" si="62"/>
        <v>0</v>
      </c>
      <c r="Y251" s="166">
        <f t="shared" si="62"/>
        <v>0</v>
      </c>
      <c r="AA251" s="103">
        <f t="shared" si="62"/>
        <v>0</v>
      </c>
    </row>
  </sheetData>
  <mergeCells count="43">
    <mergeCell ref="AB146:AB172"/>
    <mergeCell ref="AB173:AB197"/>
    <mergeCell ref="AB32:AB55"/>
    <mergeCell ref="AB56:AB68"/>
    <mergeCell ref="AB69:AB93"/>
    <mergeCell ref="AB94:AB119"/>
    <mergeCell ref="AB120:AB145"/>
    <mergeCell ref="M15:M16"/>
    <mergeCell ref="M14:R14"/>
    <mergeCell ref="N15:N16"/>
    <mergeCell ref="I14:K14"/>
    <mergeCell ref="I15:I16"/>
    <mergeCell ref="J15:K15"/>
    <mergeCell ref="A13:A16"/>
    <mergeCell ref="B13:B16"/>
    <mergeCell ref="C13:C16"/>
    <mergeCell ref="D13:K13"/>
    <mergeCell ref="A205:F205"/>
    <mergeCell ref="H15:H16"/>
    <mergeCell ref="AC1:AC80"/>
    <mergeCell ref="R15:R16"/>
    <mergeCell ref="AA14:AA16"/>
    <mergeCell ref="A10:AA10"/>
    <mergeCell ref="A11:AA11"/>
    <mergeCell ref="A9:AA9"/>
    <mergeCell ref="D15:D16"/>
    <mergeCell ref="P15:Q15"/>
    <mergeCell ref="E15:E16"/>
    <mergeCell ref="F15:G15"/>
    <mergeCell ref="D14:H14"/>
    <mergeCell ref="O15:O16"/>
    <mergeCell ref="T1:W1"/>
    <mergeCell ref="L13:L16"/>
    <mergeCell ref="M13:X13"/>
    <mergeCell ref="Y13:Y16"/>
    <mergeCell ref="X205:AA205"/>
    <mergeCell ref="Z13:Z16"/>
    <mergeCell ref="S14:X14"/>
    <mergeCell ref="S15:S16"/>
    <mergeCell ref="T15:T16"/>
    <mergeCell ref="U15:U16"/>
    <mergeCell ref="V15:W15"/>
    <mergeCell ref="X15:X16"/>
  </mergeCells>
  <phoneticPr fontId="2" type="noConversion"/>
  <printOptions horizontalCentered="1"/>
  <pageMargins left="0" right="0" top="1.0236220472440944" bottom="0.31496062992125984" header="0.43307086614173229" footer="0.11811023622047245"/>
  <pageSetup paperSize="9" scale="27" fitToHeight="10000" orientation="landscape" errors="blank" verticalDpi="360" r:id="rId1"/>
  <headerFooter scaleWithDoc="0" alignWithMargins="0">
    <oddFooter>&amp;R&amp;6Сторінка &amp;P</oddFooter>
  </headerFooter>
  <rowBreaks count="1" manualBreakCount="1">
    <brk id="187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2</vt:lpstr>
      <vt:lpstr>дод 5</vt:lpstr>
      <vt:lpstr>'дод 2'!Заголовки_для_печати</vt:lpstr>
      <vt:lpstr>'дод 5'!Заголовки_для_печати</vt:lpstr>
      <vt:lpstr>'дод 2'!Область_печати</vt:lpstr>
      <vt:lpstr>'дод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Яненко Наталія Олександрівна</cp:lastModifiedBy>
  <cp:lastPrinted>2025-04-22T11:20:19Z</cp:lastPrinted>
  <dcterms:created xsi:type="dcterms:W3CDTF">2014-01-17T10:52:16Z</dcterms:created>
  <dcterms:modified xsi:type="dcterms:W3CDTF">2025-04-22T11:22:18Z</dcterms:modified>
</cp:coreProperties>
</file>