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lak_d\Desktop\Програма\Звіт за 2022-2024, 2024\"/>
    </mc:Choice>
  </mc:AlternateContent>
  <bookViews>
    <workbookView xWindow="0" yWindow="0" windowWidth="23040" windowHeight="9192"/>
  </bookViews>
  <sheets>
    <sheet name="Лист1" sheetId="5" r:id="rId1"/>
  </sheets>
  <definedNames>
    <definedName name="_xlnm.Print_Titles" localSheetId="0">Лист1!$10:$10</definedName>
    <definedName name="_xlnm.Print_Area" localSheetId="0">Лист1!$A$1:$H$396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5" l="1"/>
  <c r="E48" i="5" l="1"/>
  <c r="F210" i="5"/>
  <c r="F201" i="5"/>
  <c r="F353" i="5" l="1"/>
  <c r="F191" i="5"/>
  <c r="F196" i="5"/>
  <c r="F194" i="5"/>
  <c r="F193" i="5"/>
  <c r="F25" i="5"/>
  <c r="E25" i="5"/>
  <c r="F32" i="5"/>
  <c r="F35" i="5"/>
  <c r="F18" i="5" l="1"/>
  <c r="E18" i="5"/>
  <c r="F28" i="5"/>
  <c r="G27" i="5"/>
  <c r="F27" i="5"/>
  <c r="G15" i="5" l="1"/>
  <c r="F13" i="5"/>
  <c r="F11" i="5"/>
  <c r="F43" i="5" l="1"/>
  <c r="E43" i="5"/>
  <c r="F51" i="5" l="1"/>
  <c r="F45" i="5"/>
  <c r="F46" i="5"/>
  <c r="F44" i="5"/>
  <c r="F182" i="5"/>
  <c r="F178" i="5"/>
  <c r="F175" i="5"/>
  <c r="F174" i="5"/>
  <c r="F173" i="5"/>
  <c r="F170" i="5"/>
  <c r="F168" i="5"/>
  <c r="G166" i="5"/>
  <c r="F158" i="5"/>
  <c r="F156" i="5"/>
  <c r="F153" i="5"/>
  <c r="F145" i="5"/>
  <c r="F137" i="5"/>
  <c r="G132" i="5"/>
  <c r="F135" i="5"/>
  <c r="F132" i="5"/>
  <c r="F128" i="5"/>
  <c r="F121" i="5"/>
  <c r="F119" i="5"/>
  <c r="F117" i="5"/>
  <c r="F114" i="5" l="1"/>
  <c r="F111" i="5"/>
  <c r="G107" i="5"/>
  <c r="F101" i="5"/>
  <c r="F95" i="5"/>
  <c r="F93" i="5"/>
  <c r="F90" i="5"/>
  <c r="F88" i="5"/>
  <c r="F85" i="5"/>
  <c r="F84" i="5"/>
  <c r="F83" i="5"/>
  <c r="F82" i="5"/>
  <c r="F80" i="5"/>
  <c r="F78" i="5"/>
  <c r="F75" i="5"/>
  <c r="F74" i="5"/>
  <c r="F73" i="5"/>
  <c r="F72" i="5"/>
  <c r="F70" i="5"/>
  <c r="G66" i="5"/>
  <c r="E16" i="5"/>
  <c r="E13" i="5" l="1"/>
  <c r="E11" i="5"/>
  <c r="G61" i="5"/>
  <c r="G56" i="5"/>
  <c r="F294" i="5" l="1"/>
  <c r="G345" i="5"/>
  <c r="E364" i="5"/>
  <c r="F359" i="5"/>
  <c r="F363" i="5"/>
  <c r="F349" i="5"/>
  <c r="F351" i="5" s="1"/>
  <c r="F325" i="5"/>
  <c r="F335" i="5"/>
  <c r="F322" i="5"/>
  <c r="E322" i="5"/>
  <c r="E248" i="5"/>
  <c r="F252" i="5"/>
  <c r="F260" i="5"/>
  <c r="F188" i="5" l="1"/>
  <c r="F189" i="5"/>
  <c r="F208" i="5"/>
  <c r="F60" i="5"/>
  <c r="F59" i="5"/>
  <c r="F56" i="5"/>
  <c r="G52" i="5"/>
  <c r="F54" i="5"/>
  <c r="F203" i="5"/>
  <c r="F212" i="5"/>
  <c r="F243" i="5"/>
  <c r="G235" i="5"/>
  <c r="F232" i="5"/>
  <c r="F227" i="5"/>
  <c r="G225" i="5"/>
  <c r="G221" i="5"/>
  <c r="F223" i="5"/>
  <c r="F220" i="5"/>
  <c r="F219" i="5"/>
  <c r="G385" i="5"/>
  <c r="F387" i="5"/>
  <c r="G373" i="5"/>
  <c r="G377" i="5"/>
  <c r="F373" i="5"/>
  <c r="F375" i="5"/>
  <c r="F379" i="5"/>
  <c r="F371" i="5"/>
  <c r="F369" i="5"/>
  <c r="F355" i="5"/>
  <c r="F341" i="5"/>
  <c r="F343" i="5"/>
  <c r="F347" i="5"/>
  <c r="F336" i="5"/>
  <c r="G337" i="5"/>
  <c r="F330" i="5"/>
  <c r="F328" i="5"/>
  <c r="F326" i="5"/>
  <c r="F316" i="5"/>
  <c r="F314" i="5"/>
  <c r="F320" i="5"/>
  <c r="F318" i="5"/>
  <c r="G306" i="5"/>
  <c r="F304" i="5"/>
  <c r="F302" i="5"/>
  <c r="F308" i="5"/>
  <c r="F306" i="5"/>
  <c r="F312" i="5"/>
  <c r="F245" i="5"/>
  <c r="F256" i="5"/>
  <c r="F255" i="5"/>
  <c r="F253" i="5"/>
  <c r="F251" i="5"/>
  <c r="F249" i="5"/>
  <c r="F262" i="5"/>
  <c r="F300" i="5"/>
  <c r="F299" i="5"/>
  <c r="F298" i="5"/>
  <c r="F296" i="5"/>
  <c r="G282" i="5"/>
  <c r="G286" i="5"/>
  <c r="F284" i="5"/>
  <c r="F282" i="5"/>
  <c r="F289" i="5"/>
  <c r="G273" i="5"/>
  <c r="G277" i="5"/>
  <c r="F275" i="5"/>
  <c r="F273" i="5"/>
  <c r="F280" i="5"/>
  <c r="E373" i="5" l="1"/>
  <c r="E375" i="5" s="1"/>
  <c r="E379" i="5"/>
  <c r="E369" i="5"/>
  <c r="E361" i="5"/>
  <c r="E353" i="5"/>
  <c r="E343" i="5"/>
  <c r="E341" i="5"/>
  <c r="E347" i="5"/>
  <c r="E337" i="5"/>
  <c r="E330" i="5"/>
  <c r="E326" i="5"/>
  <c r="E318" i="5"/>
  <c r="E308" i="5"/>
  <c r="E306" i="5"/>
  <c r="E302" i="5"/>
  <c r="E299" i="5"/>
  <c r="E298" i="5"/>
  <c r="E296" i="5"/>
  <c r="E284" i="5"/>
  <c r="E282" i="5"/>
  <c r="E289" i="5"/>
  <c r="E275" i="5"/>
  <c r="E280" i="5"/>
  <c r="E273" i="5"/>
  <c r="E260" i="5"/>
  <c r="E268" i="5"/>
  <c r="E262" i="5"/>
  <c r="E245" i="5"/>
  <c r="E255" i="5"/>
  <c r="E253" i="5"/>
  <c r="E252" i="5"/>
  <c r="E249" i="5"/>
  <c r="E215" i="5"/>
  <c r="E212" i="5"/>
  <c r="E240" i="5"/>
  <c r="E239" i="5"/>
  <c r="E227" i="5"/>
  <c r="E223" i="5"/>
  <c r="E220" i="5"/>
  <c r="E219" i="5"/>
  <c r="E218" i="5"/>
  <c r="E216" i="5"/>
  <c r="E207" i="5"/>
  <c r="E203" i="5"/>
  <c r="E202" i="5"/>
  <c r="E184" i="5"/>
  <c r="E194" i="5"/>
  <c r="E191" i="5"/>
  <c r="E188" i="5" l="1"/>
  <c r="E44" i="5"/>
  <c r="E182" i="5"/>
  <c r="E178" i="5"/>
  <c r="E173" i="5"/>
  <c r="E168" i="5"/>
  <c r="E163" i="5"/>
  <c r="E158" i="5"/>
  <c r="E156" i="5"/>
  <c r="E155" i="5"/>
  <c r="E153" i="5"/>
  <c r="E149" i="5"/>
  <c r="E145" i="5"/>
  <c r="E141" i="5"/>
  <c r="E137" i="5"/>
  <c r="E135" i="5"/>
  <c r="E128" i="5" l="1"/>
  <c r="E117" i="5"/>
  <c r="E111" i="5"/>
  <c r="E109" i="5"/>
  <c r="E95" i="5"/>
  <c r="E94" i="5"/>
  <c r="E93" i="5"/>
  <c r="E92" i="5"/>
  <c r="E90" i="5"/>
  <c r="E88" i="5"/>
  <c r="E87" i="5"/>
  <c r="E85" i="5"/>
  <c r="E83" i="5"/>
  <c r="E82" i="5"/>
  <c r="E80" i="5"/>
  <c r="E78" i="5"/>
  <c r="E77" i="5"/>
  <c r="E75" i="5"/>
  <c r="E73" i="5"/>
  <c r="E72" i="5"/>
  <c r="E70" i="5"/>
  <c r="E68" i="5"/>
  <c r="E66" i="5"/>
  <c r="E60" i="5"/>
  <c r="E59" i="5"/>
  <c r="E58" i="5"/>
  <c r="E56" i="5"/>
  <c r="E54" i="5"/>
  <c r="E46" i="5"/>
  <c r="E45" i="5"/>
  <c r="F40" i="5"/>
  <c r="E40" i="5" l="1"/>
  <c r="E42" i="5" s="1"/>
  <c r="E387" i="5"/>
  <c r="F381" i="5"/>
  <c r="E381" i="5"/>
  <c r="E383" i="5" s="1"/>
  <c r="E371" i="5"/>
  <c r="G369" i="5"/>
  <c r="F365" i="5"/>
  <c r="F367" i="5" s="1"/>
  <c r="E365" i="5"/>
  <c r="E367" i="5" s="1"/>
  <c r="E363" i="5"/>
  <c r="G361" i="5"/>
  <c r="F358" i="5"/>
  <c r="F357" i="5"/>
  <c r="E357" i="5"/>
  <c r="E359" i="5" s="1"/>
  <c r="E355" i="5"/>
  <c r="E349" i="5"/>
  <c r="E351" i="5" s="1"/>
  <c r="E339" i="5"/>
  <c r="G330" i="5"/>
  <c r="E328" i="5"/>
  <c r="G326" i="5"/>
  <c r="E324" i="5"/>
  <c r="E320" i="5"/>
  <c r="G318" i="5"/>
  <c r="E314" i="5"/>
  <c r="E316" i="5" s="1"/>
  <c r="E312" i="5"/>
  <c r="G310" i="5"/>
  <c r="E304" i="5"/>
  <c r="G296" i="5"/>
  <c r="F295" i="5"/>
  <c r="E295" i="5"/>
  <c r="F293" i="5"/>
  <c r="E293" i="5"/>
  <c r="F292" i="5"/>
  <c r="E292" i="5"/>
  <c r="G262" i="5"/>
  <c r="F258" i="5"/>
  <c r="E258" i="5"/>
  <c r="E256" i="5"/>
  <c r="G253" i="5"/>
  <c r="E251" i="5"/>
  <c r="G249" i="5"/>
  <c r="F248" i="5"/>
  <c r="E247" i="5"/>
  <c r="E243" i="5"/>
  <c r="G241" i="5"/>
  <c r="G229" i="5"/>
  <c r="G216" i="5"/>
  <c r="F215" i="5"/>
  <c r="F214" i="5"/>
  <c r="E214" i="5"/>
  <c r="E208" i="5"/>
  <c r="G203" i="5"/>
  <c r="G202" i="5"/>
  <c r="F198" i="5"/>
  <c r="F200" i="5" s="1"/>
  <c r="E198" i="5"/>
  <c r="E200" i="5" s="1"/>
  <c r="F187" i="5"/>
  <c r="E196" i="5"/>
  <c r="G194" i="5"/>
  <c r="G188" i="5"/>
  <c r="E187" i="5"/>
  <c r="F184" i="5"/>
  <c r="F186" i="5" s="1"/>
  <c r="E186" i="5"/>
  <c r="G180" i="5"/>
  <c r="G175" i="5"/>
  <c r="G170" i="5"/>
  <c r="G158" i="5"/>
  <c r="G153" i="5"/>
  <c r="G145" i="5"/>
  <c r="G137" i="5"/>
  <c r="G121" i="5"/>
  <c r="G111" i="5"/>
  <c r="G95" i="5"/>
  <c r="G90" i="5"/>
  <c r="G85" i="5"/>
  <c r="G75" i="5"/>
  <c r="G70" i="5"/>
  <c r="G44" i="5"/>
  <c r="F42" i="5"/>
  <c r="F21" i="5"/>
  <c r="E21" i="5"/>
  <c r="E20" i="5"/>
  <c r="F16" i="5"/>
  <c r="G16" i="5" s="1"/>
  <c r="F14" i="5"/>
  <c r="E14" i="5"/>
  <c r="F12" i="5"/>
  <c r="E12" i="5"/>
  <c r="E294" i="5" l="1"/>
  <c r="G245" i="5"/>
  <c r="G302" i="5"/>
  <c r="G357" i="5"/>
  <c r="G212" i="5"/>
  <c r="G381" i="5"/>
  <c r="G18" i="5"/>
  <c r="G349" i="5"/>
  <c r="G322" i="5"/>
  <c r="G184" i="5"/>
  <c r="G14" i="5"/>
  <c r="G12" i="5"/>
  <c r="G198" i="5"/>
  <c r="G292" i="5"/>
  <c r="G13" i="5"/>
  <c r="G258" i="5"/>
  <c r="F324" i="5"/>
  <c r="F383" i="5"/>
  <c r="G22" i="5"/>
  <c r="F20" i="5"/>
  <c r="G11" i="5"/>
  <c r="G40" i="5"/>
  <c r="G314" i="5"/>
  <c r="G353" i="5"/>
  <c r="G365" i="5"/>
  <c r="F247" i="5" l="1"/>
</calcChain>
</file>

<file path=xl/sharedStrings.xml><?xml version="1.0" encoding="utf-8"?>
<sst xmlns="http://schemas.openxmlformats.org/spreadsheetml/2006/main" count="1147" uniqueCount="284">
  <si>
    <t xml:space="preserve">  </t>
  </si>
  <si>
    <t>назва програми</t>
  </si>
  <si>
    <t>Група результативних показників</t>
  </si>
  <si>
    <t>Одиниця виміру</t>
  </si>
  <si>
    <t>Продукту</t>
  </si>
  <si>
    <t>Якості</t>
  </si>
  <si>
    <t>Витрат</t>
  </si>
  <si>
    <t>Ефективності</t>
  </si>
  <si>
    <t>*зазначається у випадку якщо відповідальний виконавець програми не є головним розпорядником бюджетних коштів;</t>
  </si>
  <si>
    <t>Назва індикатору/завдання/заходу,</t>
  </si>
  <si>
    <t>відповідального виконавця завдання/головного розпорядника бюджетних коштів*, найменування КПКВК</t>
  </si>
  <si>
    <t>Назва результативного показника</t>
  </si>
  <si>
    <t>Значення показника</t>
  </si>
  <si>
    <t>Відсоток виконання кол. 6/кол.5</t>
  </si>
  <si>
    <t>Причини невиконання</t>
  </si>
  <si>
    <t>план</t>
  </si>
  <si>
    <t>виконано</t>
  </si>
  <si>
    <r>
  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</si>
  <si>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Звіт про виконання результативних показників/індикаторів </t>
  </si>
  <si>
    <t>Програми підвищення енергоефективності в бюджетній сфері Сумської міської територіальної громади на 2022-2024 роки</t>
  </si>
  <si>
    <t>Обсяг зменшення споживання теплової енергії по галузі "Освіта", Гкал.</t>
  </si>
  <si>
    <t>обсяг економії</t>
  </si>
  <si>
    <t>Гкал</t>
  </si>
  <si>
    <t>відсоток зменшення споживання паливних ресурсів закладами бюджетної сфери від базового року</t>
  </si>
  <si>
    <t>%</t>
  </si>
  <si>
    <t>Обсяг зменшення споживання теплової енергії по галузі "Охорона здоров'я", Гкал.</t>
  </si>
  <si>
    <t>Обсяг зменшення споживання енергоносіїв закладами бюджетної сфери, МВт год</t>
  </si>
  <si>
    <t>МВт год</t>
  </si>
  <si>
    <t>Заклади галузі "Освіта"</t>
  </si>
  <si>
    <t xml:space="preserve">Завдання 1. Реалізація інвестиційних проєктів </t>
  </si>
  <si>
    <t>обсяг видатків</t>
  </si>
  <si>
    <t>грн.</t>
  </si>
  <si>
    <t>кількість закладів, що беруть участь в інвестиційних проєктах</t>
  </si>
  <si>
    <t>од.</t>
  </si>
  <si>
    <t>середні витрати на виконання проектних заходів в 1 закладі</t>
  </si>
  <si>
    <t>грн./об'єкт</t>
  </si>
  <si>
    <t>відсоток виконання проєку у рік впровадження</t>
  </si>
  <si>
    <t xml:space="preserve">Захід 1.1. Реалізація проєкту "Підвищення енергоефективності в дошкільних навчальних закладах міста Суми"                                                   КПКВК 1517640 </t>
  </si>
  <si>
    <t>У 2024 році було проведено оплату за консультаційні послуги</t>
  </si>
  <si>
    <t>кількість закладів-учасників інвестиційного проєкту</t>
  </si>
  <si>
    <t>кількість закладів, які плануються до реалізації у звітному періоді</t>
  </si>
  <si>
    <t>грн/об'єкт</t>
  </si>
  <si>
    <t>відсоток виконання проєкту у  рік впровадження</t>
  </si>
  <si>
    <t>Завдання 2. Термомодернізація будівель</t>
  </si>
  <si>
    <t>кількість реконструйованих закладів</t>
  </si>
  <si>
    <t>середні витрати на 1 заклад</t>
  </si>
  <si>
    <t>грн./од.</t>
  </si>
  <si>
    <t>відсоток виконання проєктів у рік впровадження</t>
  </si>
  <si>
    <t>площа огороджуючих конструкцій (фасад, цоколь, вікна, двері)</t>
  </si>
  <si>
    <t>кв. м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</si>
  <si>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</si>
  <si>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</si>
  <si>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</si>
  <si>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грн./кв.м</t>
  </si>
  <si>
    <t>витрати на установку теплового модуля</t>
  </si>
  <si>
    <t>середні витрати на модернізацію вентиляції</t>
  </si>
  <si>
    <t>відсоток модернізації огороджуючих конструкцій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</si>
  <si>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</si>
  <si>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</si>
  <si>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</si>
  <si>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</si>
  <si>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</si>
  <si>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   КПКВК 0617640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</si>
  <si>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</si>
  <si>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</si>
  <si>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</si>
  <si>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</si>
  <si>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</si>
  <si>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загальна площа віконних блоків</t>
  </si>
  <si>
    <t>кількість розроблених документів</t>
  </si>
  <si>
    <t>площа віконних блоків, що планується замінити</t>
  </si>
  <si>
    <t>витрати на розробку проєктно-кошторисної документації</t>
  </si>
  <si>
    <t>середні витрати на заміну віконних блоків</t>
  </si>
  <si>
    <t>відсоток виконання розробки проєктно-кошторисної документації</t>
  </si>
  <si>
    <t>відсоток площі віконних блоків, що планується замінити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</si>
  <si>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термомедернізіції 
КПКВК 0617640</t>
  </si>
  <si>
    <t>загальна площа огороджуючих конструкцій, що планується утеплити</t>
  </si>
  <si>
    <t>площа огороджувальних конструкцій, що планується утеплити</t>
  </si>
  <si>
    <t>грн</t>
  </si>
  <si>
    <t>середні витрати на утеплення огороджувальних конструкцій</t>
  </si>
  <si>
    <t>відсоток площі огороджуючих конструкцій,  що планується утеплити</t>
  </si>
  <si>
    <t>відсоток площі  віконних блоків,  що планується замінити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</si>
  <si>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</si>
  <si>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</si>
  <si>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</si>
  <si>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Захід 2.16. Капітальний ремонт покрівлі з утепленням Комунальної установи Сумська гімназія № 1, м. Суми, Сумської області 
КПКВК 0617640</t>
  </si>
  <si>
    <t>У 2024 році видатки не проводилися, у зв'язку з відсутністю фінансування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</si>
  <si>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
КПКВК 0617640</t>
  </si>
  <si>
    <t>витрати на розробку проєктно-кошторисної документації, грн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</si>
  <si>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КПКВК 0617640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</si>
  <si>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</si>
  <si>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
КПКВК 0617640</t>
  </si>
  <si>
    <t>Захід 2.22. Капітальний ремонт покрівлі (з утепленням) Сумської початкової школи № 32 Сумської міської ради     КПКВК 0617640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</si>
  <si>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 КПКВК 0617640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</si>
  <si>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</si>
  <si>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охоплених системою моніторингу</t>
  </si>
  <si>
    <t>середні витрати на обслуговування та впровадження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</si>
  <si>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</si>
  <si>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</si>
  <si>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                       КПКВК 0617640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</si>
  <si>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</si>
  <si>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</si>
  <si>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</si>
  <si>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</si>
  <si>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об'єктів галузі, в яких створено систему моніторингу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</si>
  <si>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
КПКВК 0617640</t>
  </si>
  <si>
    <t>середні витрати на обслуговування системи моніторингу в одному закладі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</si>
  <si>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</si>
  <si>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об'єктів</t>
  </si>
  <si>
    <t xml:space="preserve">середні витрати на виконання енергетичного аудиту з виготовленням сертифікату енергетичної ефективності </t>
  </si>
  <si>
    <t>відсоток виконання проєкту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</si>
  <si>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
КПКВК 1517640, 0617640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</si>
  <si>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</si>
  <si>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</si>
  <si>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Заклади галузі "Охорона здоров'я"</t>
  </si>
  <si>
    <t xml:space="preserve">Завдання 5. Термомодернізація будівель </t>
  </si>
  <si>
    <t>кількість термомодернізованих будівель</t>
  </si>
  <si>
    <t>середні витрати на 1 будівлю</t>
  </si>
  <si>
    <t xml:space="preserve"> відсоток виконання проєктів у рік впровадження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</si>
  <si>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</si>
  <si>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</si>
  <si>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</si>
  <si>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придбання комплекту акумуляторних модулів</t>
  </si>
  <si>
    <t>послуги з підключення обладнання</t>
  </si>
  <si>
    <t>витрати на придбання обладнання</t>
  </si>
  <si>
    <t>витрати на підключення та придбання обладнання</t>
  </si>
  <si>
    <t>відсоток виконання заходу</t>
  </si>
  <si>
    <t>Завдання 6. Впровадження автоматизованої системи дистанційного моніторингу енергоспоживання в бюджетній сфері</t>
  </si>
  <si>
    <t>кількість об'єтів, охоплених системою моніторингу</t>
  </si>
  <si>
    <t>Захід 6.1. Впровадження Сумської міської системи моніторингу теплоспоживання будівель об’єктів галузі "Охорона здоров'я"              
КПКВК 0717640</t>
  </si>
  <si>
    <t>кількість об'єктів, в яких створюється система моніторингу</t>
  </si>
  <si>
    <t>Захід 6.2. Обслуговування  Сумської міської системи моніторингу теплоспоживання будівель об’єктів  галузі "Охорона здоров'я"                     КПКВК 0717640</t>
  </si>
  <si>
    <t>Культурно-освітні заклади та установи</t>
  </si>
  <si>
    <t>Завдання 7. Термомодернізація будівель</t>
  </si>
  <si>
    <t>загальна площа огороджувальних конструкцій, що планується термомодернізувати</t>
  </si>
  <si>
    <t>середні витрати на реконструкцію будівлі</t>
  </si>
  <si>
    <t>Захід 7.1. Реконструкція-термомодернізація будівлі Піщанського будинку культури за адресою: м. Суми, с. Піщане, вул. Шкільна, 47-а 
КПКВК 1517640</t>
  </si>
  <si>
    <t>У 2024 році було проведено оплату за проєктні роботи</t>
  </si>
  <si>
    <t>площа огороджувальних конструкцій (покрівля, фасад), що планується утеплити</t>
  </si>
  <si>
    <t>шт.</t>
  </si>
  <si>
    <t>відсоток виконання розробки документа</t>
  </si>
  <si>
    <t>Фізична культура і спорт</t>
  </si>
  <si>
    <t xml:space="preserve">Завдання 10. Термомодернізація будівель </t>
  </si>
  <si>
    <t>відсоток площі фасаду,  що планується утеплити</t>
  </si>
  <si>
    <t>Захід 10.1. Капітальний ремонт будівлі (термомодернізація) спортивного комплексу «Авангард» за адресою: вул.Хворостянки,5 в м.Суми 
КПКВК 0217640</t>
  </si>
  <si>
    <t>середні витрати на утеплення 1 кв.м. фасаду</t>
  </si>
  <si>
    <t>Інші заходи</t>
  </si>
  <si>
    <t>Завдання 11. Перевірка системи енергетичного менеджменту в бюджетній сфері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</si>
  <si>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</si>
  <si>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середні витрати на проведення перевірки</t>
  </si>
  <si>
    <t>кількість закладів бюджетної сфери, охоплених перевіркою</t>
  </si>
  <si>
    <t>Захід 11.2. Ресертифікаційний аудит системи енергетичного менеджменту                                 КПКВК 3717640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</si>
  <si>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</si>
  <si>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</si>
  <si>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>кількість членських внесків</t>
  </si>
  <si>
    <t>середній розмір внеску</t>
  </si>
  <si>
    <t>відсоток сплачених внесків</t>
  </si>
  <si>
    <t>Захід 12.1. Сплата членських внесків органами місцевого самоврядування Асоціації «Енергоефективні міста України»                                                       КПКВК 0217680</t>
  </si>
  <si>
    <t>Завдання 13. Реалізація Проєкту "Впровадження Європейської Енергетичної відзнаки в Україні"</t>
  </si>
  <si>
    <t>кількість сплачених послуг</t>
  </si>
  <si>
    <t>середні витрати на послуги</t>
  </si>
  <si>
    <t>відсоток сплачених послуг</t>
  </si>
  <si>
    <t>Захід 13.1. Сплата щорічного внеску за членство в "Європейській Енергетичній Відзнаці"                                    
КПКВК 0217680</t>
  </si>
  <si>
    <t>Захід 13.2. Оплата усних та письмових послуг перекладача з англійської мови  КПКВК 3717640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</si>
  <si>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</si>
  <si>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</si>
  <si>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</si>
  <si>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</si>
  <si>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</si>
  <si>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</si>
  <si>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відсоток виконання перекладу письмових документів</t>
  </si>
  <si>
    <t>відсоток виконання усного перекладу</t>
  </si>
  <si>
    <t>Захід 13.3. Оплата консультативних послуг  з впровадження Європейської енергетичної відзнаки 
КПКВК 3717640</t>
  </si>
  <si>
    <t>послуги консультанта</t>
  </si>
  <si>
    <t>к-ть год</t>
  </si>
  <si>
    <t>середні витрати на послуги консультанта</t>
  </si>
  <si>
    <t>відсоток використаних послуг консультанта</t>
  </si>
  <si>
    <t xml:space="preserve">Завдання 15. Популяризація ідеї сталого енергетичного розвитку </t>
  </si>
  <si>
    <t>кількість проведених заходів</t>
  </si>
  <si>
    <t xml:space="preserve">середні витрати на проведення заходів </t>
  </si>
  <si>
    <t>відсоток населення міста, охоплені заходом</t>
  </si>
  <si>
    <t>Захід 15.1. Проведення заходу "Дні Сталої енергії"                                       КПКВК 3717640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</si>
  <si>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</si>
  <si>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</si>
  <si>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Завдання 16. Проведення навчань для енергоменеджерів бюджетних закладів та установ</t>
  </si>
  <si>
    <t>кількість проведених тренінгів та навчань</t>
  </si>
  <si>
    <t>середні витрати на проведення тренінгів та навчань</t>
  </si>
  <si>
    <t>кількість осіб, для яких проведено навчання</t>
  </si>
  <si>
    <t>осіб</t>
  </si>
  <si>
    <t>Захід 16.1. Проведення навчання енергоменеджерів бюджетної сфери       КПКВК 3717640</t>
  </si>
  <si>
    <t>кількість проведених тренінгів, навчань для енергоменеджерів бюджетної сфери</t>
  </si>
  <si>
    <t>Завдання 17. Впровадження електронної системи енергомоніторингу</t>
  </si>
  <si>
    <t>кількість об'єктів з  електронною ситемою моніторингу</t>
  </si>
  <si>
    <t>середні витрати на створення електронної системи моніторингу</t>
  </si>
  <si>
    <t>відсоток об'єктів галузі, в яких впроваджено електронну систему моніторингу</t>
  </si>
  <si>
    <t>Захід 17.1. Впровадження електронної системи енергомоніторингу в бюджетній сфері                                     
КПКВК 3717640</t>
  </si>
  <si>
    <t>За 31 об'єкт сплачує Департамент фінансів, економіки та інвестицій СМР, за інші - управління освіти і науки СМР</t>
  </si>
  <si>
    <t>кількість об'єктів, в яких створюється електронна ситема моніторингу</t>
  </si>
  <si>
    <t>Завдання 19. Участь у тренінгах та семінарах з питань енергозбереження</t>
  </si>
  <si>
    <t>кількість заходів</t>
  </si>
  <si>
    <t>середні витрати на участь у заходах</t>
  </si>
  <si>
    <t>відсоток використаних коштів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</si>
  <si>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</si>
  <si>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Секретар Сумської міської ради                                                                                                                                                                                                 Артем КОБЗАР</t>
  </si>
  <si>
    <t>Артем КОБЗАР</t>
  </si>
  <si>
    <t>Захід 1.2. Реалізація проєкту "Підвищення енергоефективності в освітніх закладах м. Суми" 
КПКВК 1517640</t>
  </si>
  <si>
    <t xml:space="preserve">площа дверних блоків, що планується замінити </t>
  </si>
  <si>
    <t>улаштування блискавкозахисту</t>
  </si>
  <si>
    <t>система освітлення</t>
  </si>
  <si>
    <t>середні витрати на заміну 1 кв.м. дверних  блоків</t>
  </si>
  <si>
    <t>середні витрати на улаштування 1 блискавкозахисту</t>
  </si>
  <si>
    <t>грн./пог.м</t>
  </si>
  <si>
    <t>середні витрати на ремонт системи освітлення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</si>
  <si>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</si>
  <si>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</si>
  <si>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</si>
  <si>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</si>
  <si>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</si>
  <si>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
№ 34" КПКВК 0617640</t>
  </si>
  <si>
    <t>підсилення стін</t>
  </si>
  <si>
    <t>пог.м.</t>
  </si>
  <si>
    <t>середні витрати на підсилення стін</t>
  </si>
  <si>
    <t>відсоток виконання робіт з підсилення стін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</si>
  <si>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</si>
  <si>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</si>
  <si>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
КПКВК 0617640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</si>
  <si>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             КПКВК 0717640 </t>
  </si>
  <si>
    <t>кількість встановлених СЕС</t>
  </si>
  <si>
    <t>середні витрати на встановлення СЕС</t>
  </si>
  <si>
    <t>відсоток встановлення СЕС</t>
  </si>
  <si>
    <t>улаштування мережевої сонячної станції на 60 кВт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</si>
  <si>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</si>
  <si>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</si>
  <si>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загальна кількість радіаторів опалення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</si>
  <si>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</si>
  <si>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</si>
  <si>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</si>
  <si>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</si>
  <si>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</si>
  <si>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</si>
  <si>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Установи галузі "Соціальний захист та соціальне забезпечення"</t>
  </si>
  <si>
    <t xml:space="preserve">Завдання 8. Термомодернізація будівель </t>
  </si>
  <si>
    <t>площа вхідних дверних блоків, що планується замінити</t>
  </si>
  <si>
    <t>середні витрати на заміну  дверних  блоків</t>
  </si>
  <si>
    <t>відсоток площі  вхідних дверних блоків,  що планується замінити</t>
  </si>
  <si>
    <t>загальна площа вхідних дверних блоків</t>
  </si>
  <si>
    <t>Завдання 9. Модернізація системи освітлення</t>
  </si>
  <si>
    <t>кількість світильників, що планується замінити</t>
  </si>
  <si>
    <t>середні витрати на заміну світильників</t>
  </si>
  <si>
    <t>грн./шт.</t>
  </si>
  <si>
    <t>відсоток замінених світильників</t>
  </si>
  <si>
    <t>загальна кількість ламп</t>
  </si>
  <si>
    <t>середні витрати на заміну світильників на енергоефективні</t>
  </si>
  <si>
    <t>відсоток світильників,  що планується замінити</t>
  </si>
  <si>
    <t>Захід 11.1. Наглядовий аудит системи енергетичного менеджменту в бюджетній сфері  КПКВК 3717640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</si>
  <si>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</si>
  <si>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Завдання 14. Реалізація демонстраційного проєкту від GIZ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</si>
  <si>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</si>
  <si>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</si>
  <si>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</si>
  <si>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Завдання 18. Розробка Плану дій сталого енергетичного розвитку та клімату</t>
  </si>
  <si>
    <t>середні витрати на розробку документа</t>
  </si>
  <si>
    <t>Захід 18.1. Розробка Плану дій сталого енергетичного розвитку та клімату Сумської міської територіальної громади  КПКВК 3717640</t>
  </si>
  <si>
    <t>за 2022-2024 роки</t>
  </si>
  <si>
    <t>Захід 2.1. Реконструкція-термомодернізація будівлі КУ ССШ № 7 ім. М. Савченка Сумської міської ради по вул. Лесі Українки, 23  в м.Суми  КПКВК 1517640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</si>
  <si>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
КПКВК 0617640, 0617384</t>
  </si>
  <si>
    <t>Захід 8.1. Заміна вхідних дверей у будинку нічного перебування КУ "СМТЦСО (НСП) "Берегиня" 
КПКВК 0817640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</si>
  <si>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
КПКВК 0817640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</si>
  <si>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
КПКВК 0717640</t>
  </si>
  <si>
    <t>У 2022-2024 році оцінка організаційної спроможності, існуючого стану ОМС, надання консультативної підтримки та аудит системи ОМС не здійснювався</t>
  </si>
  <si>
    <t>Роботи не проводилися у зв'язку з відсутністю фінансування</t>
  </si>
  <si>
    <t>Видатки не проводилися, у зв'язку з відсутністю фінансування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</si>
  <si>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 20   КПКВК 0717640</t>
  </si>
  <si>
    <t>Додаток 6</t>
  </si>
  <si>
    <t>до рішення Сумської міської ради «Про заключний звіт про виконання Програми підвищення енергоефективності в бюджетній сфері Сумської міської територіальної громади на 2022-2024 роки, затвердженої рішенням Сумської міської ради від 26 січня 2022 року  № 2715 – МР (зі змінами) за 2022-2024 роки та за 2024 рік»
від                               №           -МР</t>
  </si>
  <si>
    <t>Захід 2.4. Капітальний ремонт покрівлі з утепленням КУ ССШ № 7 ім. М. Савченка Сумської міської ради 
по вул. Лесі Українки, 23 в м.Суми                   КПКВК 0617640</t>
  </si>
  <si>
    <t>Захід 2.7. Капітальний ремонт покрівлі з утепленням Сумська початкова школа 
№ 30 "Унікум" Сумської міської ради     КПКВК 0617640</t>
  </si>
  <si>
    <t>Захід 2.10. Капітальний ремонт будівлі (утеплення фасаду) Комунальної установи Сумська спеціалізована школа 
І-ІІІ ступенів № 29, м. Суми, Сумської області 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</si>
  <si>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
с. Стецьківка, вул. Вишнева,1 
КПКВК 1517640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</si>
  <si>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
м. Суми,вул.Троїцька,28  
КПКВК 0717700, КПКВК 0717640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</si>
  <si>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Суми,вул.Троїцька,28 
КПКВК 071640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</si>
  <si>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
КПКВК 0717361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</si>
  <si>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
м. Суми,вул.Троїцька,28 
КПКВК 3717700</t>
  </si>
  <si>
    <t>Виконавець: Світлана ЛИПОВА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</si>
</sst>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4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/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4" fontId="4" fillId="0" borderId="5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10" fontId="0" fillId="0" borderId="0" xfId="0" applyNumberFormat="1" applyFill="1"/>
    <xf numFmtId="10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6"/>
  <sheetViews>
    <sheetView tabSelected="1" topLeftCell="A391" zoomScaleNormal="100" workbookViewId="0">
      <selection activeCell="D395" sqref="D395"/>
    </sheetView>
  </sheetViews>
  <sheetFormatPr defaultRowHeight="14.4" x14ac:dyDescent="0.3"/>
  <cols>
    <col min="1" max="1" width="33.33203125" customWidth="1"/>
    <col min="2" max="2" width="15.109375" customWidth="1"/>
    <col min="3" max="3" width="32.88671875" customWidth="1"/>
    <col min="4" max="4" width="12" customWidth="1"/>
    <col min="5" max="5" width="14.44140625" style="36" customWidth="1"/>
    <col min="6" max="6" width="13.6640625" style="23" customWidth="1"/>
    <col min="7" max="7" width="13.5546875" customWidth="1"/>
    <col min="8" max="8" width="24.109375" customWidth="1"/>
    <col min="9" max="9" width="9.88671875" bestFit="1" customWidth="1"/>
    <col min="10" max="10" width="12.88671875" bestFit="1" customWidth="1"/>
    <col min="11" max="11" width="0" hidden="1" customWidth="1"/>
    <col min="12" max="12" width="9.109375" hidden="1" customWidth="1"/>
  </cols>
  <sheetData>
    <row r="1" spans="1:12" ht="15" customHeight="1" x14ac:dyDescent="0.35">
      <c r="A1" s="7"/>
      <c r="B1" s="7"/>
      <c r="C1" s="7"/>
      <c r="D1" s="7"/>
      <c r="E1" s="64" t="s">
        <v>273</v>
      </c>
      <c r="F1" s="64"/>
      <c r="G1" s="64"/>
      <c r="H1" s="64"/>
    </row>
    <row r="2" spans="1:12" ht="132" customHeight="1" x14ac:dyDescent="0.3">
      <c r="A2" s="8"/>
      <c r="B2" s="8"/>
      <c r="C2" s="8"/>
      <c r="D2" s="8"/>
      <c r="E2" s="65" t="s">
        <v>274</v>
      </c>
      <c r="F2" s="65"/>
      <c r="G2" s="65"/>
      <c r="H2" s="65"/>
      <c r="L2" s="2" t="s">
        <v>8</v>
      </c>
    </row>
    <row r="3" spans="1:12" ht="15" customHeight="1" x14ac:dyDescent="0.3">
      <c r="A3" s="66" t="s">
        <v>18</v>
      </c>
      <c r="B3" s="66"/>
      <c r="C3" s="66"/>
      <c r="D3" s="66"/>
      <c r="E3" s="66"/>
      <c r="F3" s="66"/>
      <c r="G3" s="66"/>
      <c r="H3" s="66"/>
      <c r="L3" s="2" t="s">
        <v>17</v>
      </c>
    </row>
    <row r="4" spans="1:12" ht="18.75" customHeight="1" x14ac:dyDescent="0.3">
      <c r="A4" s="67" t="s">
        <v>19</v>
      </c>
      <c r="B4" s="67"/>
      <c r="C4" s="67"/>
      <c r="D4" s="67"/>
      <c r="E4" s="67"/>
      <c r="F4" s="67"/>
      <c r="G4" s="67"/>
      <c r="H4" s="67"/>
    </row>
    <row r="5" spans="1:12" x14ac:dyDescent="0.3">
      <c r="A5" s="68" t="s">
        <v>1</v>
      </c>
      <c r="B5" s="68"/>
      <c r="C5" s="68"/>
      <c r="D5" s="68"/>
      <c r="E5" s="68"/>
      <c r="F5" s="68"/>
      <c r="G5" s="68"/>
      <c r="H5" s="68"/>
    </row>
    <row r="6" spans="1:12" ht="15.6" x14ac:dyDescent="0.3">
      <c r="A6" s="69" t="s">
        <v>263</v>
      </c>
      <c r="B6" s="69"/>
      <c r="C6" s="69"/>
      <c r="D6" s="69"/>
      <c r="E6" s="69"/>
      <c r="F6" s="69"/>
      <c r="G6" s="69"/>
      <c r="H6" s="69"/>
    </row>
    <row r="7" spans="1:12" x14ac:dyDescent="0.3">
      <c r="A7" s="75"/>
      <c r="B7" s="75"/>
      <c r="C7" s="75"/>
      <c r="D7" s="75"/>
      <c r="E7" s="75"/>
      <c r="F7" s="75"/>
      <c r="G7" s="75"/>
      <c r="H7" s="75"/>
    </row>
    <row r="8" spans="1:12" x14ac:dyDescent="0.3">
      <c r="A8" s="4" t="s">
        <v>9</v>
      </c>
      <c r="B8" s="73" t="s">
        <v>2</v>
      </c>
      <c r="C8" s="73" t="s">
        <v>11</v>
      </c>
      <c r="D8" s="73" t="s">
        <v>3</v>
      </c>
      <c r="E8" s="73" t="s">
        <v>12</v>
      </c>
      <c r="F8" s="73"/>
      <c r="G8" s="73" t="s">
        <v>13</v>
      </c>
      <c r="H8" s="73" t="s">
        <v>14</v>
      </c>
    </row>
    <row r="9" spans="1:12" ht="52.8" x14ac:dyDescent="0.3">
      <c r="A9" s="4" t="s">
        <v>10</v>
      </c>
      <c r="B9" s="73"/>
      <c r="C9" s="73"/>
      <c r="D9" s="73"/>
      <c r="E9" s="30" t="s">
        <v>15</v>
      </c>
      <c r="F9" s="4" t="s">
        <v>16</v>
      </c>
      <c r="G9" s="73"/>
      <c r="H9" s="73"/>
      <c r="J9" s="9"/>
    </row>
    <row r="10" spans="1:12" x14ac:dyDescent="0.3">
      <c r="A10" s="3">
        <v>1</v>
      </c>
      <c r="B10" s="3">
        <v>2</v>
      </c>
      <c r="C10" s="3">
        <v>3</v>
      </c>
      <c r="D10" s="3">
        <v>4</v>
      </c>
      <c r="E10" s="34">
        <v>5</v>
      </c>
      <c r="F10" s="3">
        <v>6</v>
      </c>
      <c r="G10" s="3">
        <v>7</v>
      </c>
      <c r="H10" s="3">
        <v>8</v>
      </c>
    </row>
    <row r="11" spans="1:12" ht="21.75" customHeight="1" x14ac:dyDescent="0.3">
      <c r="A11" s="70" t="s">
        <v>20</v>
      </c>
      <c r="B11" s="6" t="s">
        <v>4</v>
      </c>
      <c r="C11" s="10" t="s">
        <v>21</v>
      </c>
      <c r="D11" s="11" t="s">
        <v>22</v>
      </c>
      <c r="E11" s="12">
        <f>384.98+1531.38+1351.65</f>
        <v>3268.01</v>
      </c>
      <c r="F11" s="12">
        <f>139+384.79</f>
        <v>523.79</v>
      </c>
      <c r="G11" s="28">
        <f>F11/E11</f>
        <v>0.16027796732568136</v>
      </c>
      <c r="H11" s="5"/>
    </row>
    <row r="12" spans="1:12" ht="39.6" x14ac:dyDescent="0.3">
      <c r="A12" s="70"/>
      <c r="B12" s="6" t="s">
        <v>5</v>
      </c>
      <c r="C12" s="10" t="s">
        <v>23</v>
      </c>
      <c r="D12" s="11" t="s">
        <v>24</v>
      </c>
      <c r="E12" s="12">
        <f>E11/38852.536*100</f>
        <v>8.4113170887995583</v>
      </c>
      <c r="F12" s="12">
        <f>F11/38852.536*100</f>
        <v>1.3481488055245607</v>
      </c>
      <c r="G12" s="28">
        <f t="shared" ref="G12:G16" si="0">F12/E12</f>
        <v>0.16027796732568134</v>
      </c>
      <c r="H12" s="5"/>
    </row>
    <row r="13" spans="1:12" x14ac:dyDescent="0.3">
      <c r="A13" s="71" t="s">
        <v>25</v>
      </c>
      <c r="B13" s="6" t="s">
        <v>4</v>
      </c>
      <c r="C13" s="10" t="s">
        <v>21</v>
      </c>
      <c r="D13" s="11" t="s">
        <v>22</v>
      </c>
      <c r="E13" s="12">
        <f>63.11+144.24</f>
        <v>207.35000000000002</v>
      </c>
      <c r="F13" s="12">
        <f>10+41.98</f>
        <v>51.98</v>
      </c>
      <c r="G13" s="28">
        <f t="shared" si="0"/>
        <v>0.25068724379069202</v>
      </c>
      <c r="H13" s="5"/>
    </row>
    <row r="14" spans="1:12" ht="39.6" x14ac:dyDescent="0.3">
      <c r="A14" s="72"/>
      <c r="B14" s="6" t="s">
        <v>5</v>
      </c>
      <c r="C14" s="10" t="s">
        <v>23</v>
      </c>
      <c r="D14" s="11" t="s">
        <v>24</v>
      </c>
      <c r="E14" s="12">
        <f>E13/10455.971*100</f>
        <v>1.9830774205475514</v>
      </c>
      <c r="F14" s="13">
        <f>F13/10455.971*100</f>
        <v>0.49713221278062075</v>
      </c>
      <c r="G14" s="28">
        <f t="shared" si="0"/>
        <v>0.25068724379069202</v>
      </c>
      <c r="H14" s="5"/>
    </row>
    <row r="15" spans="1:12" x14ac:dyDescent="0.3">
      <c r="A15" s="71" t="s">
        <v>26</v>
      </c>
      <c r="B15" s="6" t="s">
        <v>4</v>
      </c>
      <c r="C15" s="10" t="s">
        <v>21</v>
      </c>
      <c r="D15" s="11" t="s">
        <v>27</v>
      </c>
      <c r="E15" s="12">
        <v>115.2</v>
      </c>
      <c r="F15" s="13">
        <v>115.2</v>
      </c>
      <c r="G15" s="28">
        <f t="shared" si="0"/>
        <v>1</v>
      </c>
      <c r="H15" s="5"/>
    </row>
    <row r="16" spans="1:12" ht="39.6" x14ac:dyDescent="0.3">
      <c r="A16" s="72"/>
      <c r="B16" s="6" t="s">
        <v>5</v>
      </c>
      <c r="C16" s="10" t="s">
        <v>23</v>
      </c>
      <c r="D16" s="11" t="s">
        <v>24</v>
      </c>
      <c r="E16" s="12">
        <f>E15/10455.971*100</f>
        <v>1.1017628109335806</v>
      </c>
      <c r="F16" s="13">
        <f>F15/10455.971*100</f>
        <v>1.1017628109335806</v>
      </c>
      <c r="G16" s="28">
        <f t="shared" si="0"/>
        <v>1</v>
      </c>
      <c r="H16" s="5"/>
    </row>
    <row r="17" spans="1:8" x14ac:dyDescent="0.3">
      <c r="A17" s="73" t="s">
        <v>28</v>
      </c>
      <c r="B17" s="73"/>
      <c r="C17" s="73"/>
      <c r="D17" s="73"/>
      <c r="E17" s="73"/>
      <c r="F17" s="73"/>
      <c r="G17" s="73"/>
      <c r="H17" s="73"/>
    </row>
    <row r="18" spans="1:8" s="26" customFormat="1" x14ac:dyDescent="0.3">
      <c r="A18" s="55" t="s">
        <v>29</v>
      </c>
      <c r="B18" s="41" t="s">
        <v>6</v>
      </c>
      <c r="C18" s="39" t="s">
        <v>30</v>
      </c>
      <c r="D18" s="41" t="s">
        <v>31</v>
      </c>
      <c r="E18" s="12">
        <f>E22+E27</f>
        <v>303229766.43000001</v>
      </c>
      <c r="F18" s="12">
        <f>F22+F27</f>
        <v>7875707.75</v>
      </c>
      <c r="G18" s="28">
        <f>F18/E18</f>
        <v>2.5972739558924839E-2</v>
      </c>
      <c r="H18" s="30"/>
    </row>
    <row r="19" spans="1:8" s="26" customFormat="1" ht="30" customHeight="1" x14ac:dyDescent="0.3">
      <c r="A19" s="56"/>
      <c r="B19" s="41" t="s">
        <v>4</v>
      </c>
      <c r="C19" s="39" t="s">
        <v>32</v>
      </c>
      <c r="D19" s="41" t="s">
        <v>33</v>
      </c>
      <c r="E19" s="41">
        <v>4</v>
      </c>
      <c r="F19" s="41">
        <v>0</v>
      </c>
      <c r="G19" s="40"/>
      <c r="H19" s="40"/>
    </row>
    <row r="20" spans="1:8" s="26" customFormat="1" ht="30.75" customHeight="1" x14ac:dyDescent="0.3">
      <c r="A20" s="56"/>
      <c r="B20" s="41" t="s">
        <v>7</v>
      </c>
      <c r="C20" s="39" t="s">
        <v>34</v>
      </c>
      <c r="D20" s="41" t="s">
        <v>35</v>
      </c>
      <c r="E20" s="12">
        <f>E18/E19</f>
        <v>75807441.607500002</v>
      </c>
      <c r="F20" s="12">
        <f>F25</f>
        <v>1739300</v>
      </c>
      <c r="G20" s="40"/>
      <c r="H20" s="40"/>
    </row>
    <row r="21" spans="1:8" s="26" customFormat="1" ht="30.75" customHeight="1" x14ac:dyDescent="0.3">
      <c r="A21" s="57"/>
      <c r="B21" s="41" t="s">
        <v>5</v>
      </c>
      <c r="C21" s="39" t="s">
        <v>36</v>
      </c>
      <c r="D21" s="41" t="s">
        <v>24</v>
      </c>
      <c r="E21" s="13">
        <f>E26</f>
        <v>50</v>
      </c>
      <c r="F21" s="13">
        <f>F26</f>
        <v>1</v>
      </c>
      <c r="G21" s="40"/>
      <c r="H21" s="40"/>
    </row>
    <row r="22" spans="1:8" s="26" customFormat="1" ht="19.5" customHeight="1" x14ac:dyDescent="0.3">
      <c r="A22" s="58" t="s">
        <v>37</v>
      </c>
      <c r="B22" s="62" t="s">
        <v>6</v>
      </c>
      <c r="C22" s="39" t="s">
        <v>30</v>
      </c>
      <c r="D22" s="41" t="s">
        <v>31</v>
      </c>
      <c r="E22" s="12">
        <v>296168026.43000001</v>
      </c>
      <c r="F22" s="12">
        <v>1739300</v>
      </c>
      <c r="G22" s="43">
        <f>F22/E22</f>
        <v>5.872679846523161E-3</v>
      </c>
      <c r="H22" s="62" t="s">
        <v>38</v>
      </c>
    </row>
    <row r="23" spans="1:8" s="26" customFormat="1" ht="31.5" customHeight="1" x14ac:dyDescent="0.3">
      <c r="A23" s="59"/>
      <c r="B23" s="63"/>
      <c r="C23" s="39" t="s">
        <v>39</v>
      </c>
      <c r="D23" s="41" t="s">
        <v>33</v>
      </c>
      <c r="E23" s="41">
        <v>8</v>
      </c>
      <c r="F23" s="41">
        <v>4</v>
      </c>
      <c r="G23" s="40"/>
      <c r="H23" s="74"/>
    </row>
    <row r="24" spans="1:8" s="26" customFormat="1" ht="30.75" customHeight="1" x14ac:dyDescent="0.3">
      <c r="A24" s="59"/>
      <c r="B24" s="41" t="s">
        <v>4</v>
      </c>
      <c r="C24" s="39" t="s">
        <v>40</v>
      </c>
      <c r="D24" s="41" t="s">
        <v>33</v>
      </c>
      <c r="E24" s="41">
        <v>4</v>
      </c>
      <c r="F24" s="41">
        <v>0</v>
      </c>
      <c r="G24" s="40"/>
      <c r="H24" s="74"/>
    </row>
    <row r="25" spans="1:8" s="26" customFormat="1" ht="33" customHeight="1" x14ac:dyDescent="0.3">
      <c r="A25" s="59"/>
      <c r="B25" s="41" t="s">
        <v>7</v>
      </c>
      <c r="C25" s="39" t="s">
        <v>34</v>
      </c>
      <c r="D25" s="41" t="s">
        <v>41</v>
      </c>
      <c r="E25" s="12">
        <f>E22/E24</f>
        <v>74042006.607500002</v>
      </c>
      <c r="F25" s="12">
        <f>F22</f>
        <v>1739300</v>
      </c>
      <c r="G25" s="40"/>
      <c r="H25" s="74"/>
    </row>
    <row r="26" spans="1:8" s="26" customFormat="1" ht="26.4" x14ac:dyDescent="0.3">
      <c r="A26" s="60"/>
      <c r="B26" s="41" t="s">
        <v>5</v>
      </c>
      <c r="C26" s="39" t="s">
        <v>42</v>
      </c>
      <c r="D26" s="41" t="s">
        <v>24</v>
      </c>
      <c r="E26" s="13">
        <v>50</v>
      </c>
      <c r="F26" s="13">
        <v>1</v>
      </c>
      <c r="G26" s="40"/>
      <c r="H26" s="63"/>
    </row>
    <row r="27" spans="1:8" s="26" customFormat="1" x14ac:dyDescent="0.3">
      <c r="A27" s="76" t="s">
        <v>205</v>
      </c>
      <c r="B27" s="41" t="s">
        <v>6</v>
      </c>
      <c r="C27" s="39" t="s">
        <v>30</v>
      </c>
      <c r="D27" s="41" t="s">
        <v>31</v>
      </c>
      <c r="E27" s="12">
        <v>7061740</v>
      </c>
      <c r="F27" s="12">
        <f>4173574.28+1962833.47</f>
        <v>6136407.75</v>
      </c>
      <c r="G27" s="28">
        <f>F27/E27</f>
        <v>0.86896540371070019</v>
      </c>
      <c r="H27" s="38"/>
    </row>
    <row r="28" spans="1:8" s="26" customFormat="1" ht="26.4" x14ac:dyDescent="0.3">
      <c r="A28" s="76"/>
      <c r="B28" s="62" t="s">
        <v>4</v>
      </c>
      <c r="C28" s="39" t="s">
        <v>77</v>
      </c>
      <c r="D28" s="41" t="s">
        <v>49</v>
      </c>
      <c r="E28" s="13">
        <v>502.1</v>
      </c>
      <c r="F28" s="13">
        <f>480.1+22</f>
        <v>502.1</v>
      </c>
      <c r="G28" s="40"/>
      <c r="H28" s="38"/>
    </row>
    <row r="29" spans="1:8" s="26" customFormat="1" ht="26.4" x14ac:dyDescent="0.3">
      <c r="A29" s="76"/>
      <c r="B29" s="74"/>
      <c r="C29" s="39" t="s">
        <v>206</v>
      </c>
      <c r="D29" s="41" t="s">
        <v>49</v>
      </c>
      <c r="E29" s="13">
        <v>9.1999999999999993</v>
      </c>
      <c r="F29" s="13">
        <v>9.1999999999999993</v>
      </c>
      <c r="G29" s="40"/>
      <c r="H29" s="38"/>
    </row>
    <row r="30" spans="1:8" s="26" customFormat="1" x14ac:dyDescent="0.3">
      <c r="A30" s="76"/>
      <c r="B30" s="74"/>
      <c r="C30" s="39" t="s">
        <v>207</v>
      </c>
      <c r="D30" s="41" t="s">
        <v>33</v>
      </c>
      <c r="E30" s="14">
        <v>2</v>
      </c>
      <c r="F30" s="14">
        <v>2</v>
      </c>
      <c r="G30" s="40"/>
      <c r="H30" s="38"/>
    </row>
    <row r="31" spans="1:8" s="26" customFormat="1" x14ac:dyDescent="0.3">
      <c r="A31" s="76"/>
      <c r="B31" s="63"/>
      <c r="C31" s="39" t="s">
        <v>208</v>
      </c>
      <c r="D31" s="41" t="s">
        <v>33</v>
      </c>
      <c r="E31" s="14">
        <v>1</v>
      </c>
      <c r="F31" s="14">
        <v>1</v>
      </c>
      <c r="G31" s="40"/>
      <c r="H31" s="38"/>
    </row>
    <row r="32" spans="1:8" s="26" customFormat="1" ht="26.4" x14ac:dyDescent="0.3">
      <c r="A32" s="76"/>
      <c r="B32" s="62" t="s">
        <v>7</v>
      </c>
      <c r="C32" s="39" t="s">
        <v>79</v>
      </c>
      <c r="D32" s="41" t="s">
        <v>53</v>
      </c>
      <c r="E32" s="12">
        <v>4300</v>
      </c>
      <c r="F32" s="12">
        <f>(F27-F35-F33*F29-F34*(1870+962))/F28</f>
        <v>3881.2470623381791</v>
      </c>
      <c r="G32" s="40"/>
      <c r="H32" s="38"/>
    </row>
    <row r="33" spans="1:8" s="26" customFormat="1" ht="26.4" x14ac:dyDescent="0.3">
      <c r="A33" s="76"/>
      <c r="B33" s="74"/>
      <c r="C33" s="39" t="s">
        <v>209</v>
      </c>
      <c r="D33" s="41" t="s">
        <v>53</v>
      </c>
      <c r="E33" s="12">
        <v>10000</v>
      </c>
      <c r="F33" s="12">
        <v>10000</v>
      </c>
      <c r="G33" s="40"/>
      <c r="H33" s="38"/>
    </row>
    <row r="34" spans="1:8" s="26" customFormat="1" ht="26.4" x14ac:dyDescent="0.3">
      <c r="A34" s="76"/>
      <c r="B34" s="74"/>
      <c r="C34" s="39" t="s">
        <v>210</v>
      </c>
      <c r="D34" s="41" t="s">
        <v>211</v>
      </c>
      <c r="E34" s="12">
        <v>1345.55</v>
      </c>
      <c r="F34" s="12">
        <v>1345.55</v>
      </c>
      <c r="G34" s="40"/>
      <c r="H34" s="38"/>
    </row>
    <row r="35" spans="1:8" s="26" customFormat="1" ht="26.4" x14ac:dyDescent="0.3">
      <c r="A35" s="76"/>
      <c r="B35" s="63"/>
      <c r="C35" s="39" t="s">
        <v>212</v>
      </c>
      <c r="D35" s="41" t="s">
        <v>31</v>
      </c>
      <c r="E35" s="12">
        <v>1000000</v>
      </c>
      <c r="F35" s="12">
        <f>273076+11960</f>
        <v>285036</v>
      </c>
      <c r="G35" s="40"/>
      <c r="H35" s="38"/>
    </row>
    <row r="36" spans="1:8" s="26" customFormat="1" ht="26.4" x14ac:dyDescent="0.3">
      <c r="A36" s="76"/>
      <c r="B36" s="62" t="s">
        <v>5</v>
      </c>
      <c r="C36" s="39" t="s">
        <v>56</v>
      </c>
      <c r="D36" s="41" t="s">
        <v>24</v>
      </c>
      <c r="E36" s="13">
        <v>100</v>
      </c>
      <c r="F36" s="13">
        <v>100</v>
      </c>
      <c r="G36" s="40"/>
      <c r="H36" s="38"/>
    </row>
    <row r="37" spans="1:8" s="26" customFormat="1" ht="26.4" x14ac:dyDescent="0.3">
      <c r="A37" s="76"/>
      <c r="B37" s="74"/>
      <c r="C37" s="39" t="s">
        <v>213</v>
      </c>
      <c r="D37" s="41" t="s">
        <v>24</v>
      </c>
      <c r="E37" s="13">
        <v>100</v>
      </c>
      <c r="F37" s="13">
        <v>100</v>
      </c>
      <c r="G37" s="40"/>
      <c r="H37" s="38"/>
    </row>
    <row r="38" spans="1:8" s="26" customFormat="1" ht="26.4" x14ac:dyDescent="0.3">
      <c r="A38" s="76"/>
      <c r="B38" s="74"/>
      <c r="C38" s="39" t="s">
        <v>214</v>
      </c>
      <c r="D38" s="41" t="s">
        <v>24</v>
      </c>
      <c r="E38" s="13">
        <v>100</v>
      </c>
      <c r="F38" s="13">
        <v>100</v>
      </c>
      <c r="G38" s="40"/>
      <c r="H38" s="38"/>
    </row>
    <row r="39" spans="1:8" s="26" customFormat="1" ht="26.4" x14ac:dyDescent="0.3">
      <c r="A39" s="76"/>
      <c r="B39" s="63"/>
      <c r="C39" s="39" t="s">
        <v>215</v>
      </c>
      <c r="D39" s="41" t="s">
        <v>24</v>
      </c>
      <c r="E39" s="13">
        <v>100</v>
      </c>
      <c r="F39" s="13">
        <v>100</v>
      </c>
      <c r="G39" s="40"/>
      <c r="H39" s="38"/>
    </row>
    <row r="40" spans="1:8" s="26" customFormat="1" x14ac:dyDescent="0.3">
      <c r="A40" s="55" t="s">
        <v>43</v>
      </c>
      <c r="B40" s="38" t="s">
        <v>6</v>
      </c>
      <c r="C40" s="39" t="s">
        <v>30</v>
      </c>
      <c r="D40" s="41" t="s">
        <v>31</v>
      </c>
      <c r="E40" s="12">
        <f>E44+E52+E56+E61+E66+E70+E75+E80+E85+E90+E95+E107+E111+E121+E132+E137+E145+E153+E158+E166+E170+E175+E180</f>
        <v>305088113</v>
      </c>
      <c r="F40" s="12">
        <f>F44+F52+F56+F61+F66+F70+F75+F80+F85+F90+F95+F107+F111+F121+F132+F137+F145+F153+F158+F166+F170+F175+F180</f>
        <v>228210367.31000003</v>
      </c>
      <c r="G40" s="28">
        <f>F40/E40</f>
        <v>0.74801461474836295</v>
      </c>
      <c r="H40" s="40"/>
    </row>
    <row r="41" spans="1:8" s="26" customFormat="1" ht="18" customHeight="1" x14ac:dyDescent="0.3">
      <c r="A41" s="56"/>
      <c r="B41" s="41" t="s">
        <v>4</v>
      </c>
      <c r="C41" s="39" t="s">
        <v>44</v>
      </c>
      <c r="D41" s="41" t="s">
        <v>33</v>
      </c>
      <c r="E41" s="41">
        <v>19</v>
      </c>
      <c r="F41" s="41">
        <v>14</v>
      </c>
      <c r="G41" s="28"/>
      <c r="H41" s="40"/>
    </row>
    <row r="42" spans="1:8" s="26" customFormat="1" x14ac:dyDescent="0.3">
      <c r="A42" s="56"/>
      <c r="B42" s="41" t="s">
        <v>7</v>
      </c>
      <c r="C42" s="39" t="s">
        <v>45</v>
      </c>
      <c r="D42" s="41" t="s">
        <v>46</v>
      </c>
      <c r="E42" s="12">
        <f>E40/E41</f>
        <v>16057269.105263159</v>
      </c>
      <c r="F42" s="12">
        <f>F40/F41</f>
        <v>16300740.522142859</v>
      </c>
      <c r="G42" s="28"/>
      <c r="H42" s="40"/>
    </row>
    <row r="43" spans="1:8" s="26" customFormat="1" ht="26.4" x14ac:dyDescent="0.3">
      <c r="A43" s="57"/>
      <c r="B43" s="41" t="s">
        <v>5</v>
      </c>
      <c r="C43" s="39" t="s">
        <v>47</v>
      </c>
      <c r="D43" s="41" t="s">
        <v>24</v>
      </c>
      <c r="E43" s="12">
        <f>AVERAGE(E51,E55,E60,E65,E69,E74,E79,E84,E89,E94,E104:E106,E110,E119:E120,E130:E131,E136,E143:E144,E151:E152,E157,E164:E165,E169,E174,E179,E183)</f>
        <v>93.137042553191506</v>
      </c>
      <c r="F43" s="12">
        <f>AVERAGE(F51,F55,F60,F65,F69,F74,F79,F84,F89,F94,F104:F106,F110,F119:F120,F130:F131,F136,F143:F144,F151:F152,F157,F164:F165,F169,F174,F179,F183)</f>
        <v>55.525088047270707</v>
      </c>
      <c r="G43" s="28"/>
      <c r="H43" s="40"/>
    </row>
    <row r="44" spans="1:8" s="26" customFormat="1" x14ac:dyDescent="0.3">
      <c r="A44" s="58" t="s">
        <v>264</v>
      </c>
      <c r="B44" s="62" t="s">
        <v>6</v>
      </c>
      <c r="C44" s="39" t="s">
        <v>30</v>
      </c>
      <c r="D44" s="41" t="s">
        <v>31</v>
      </c>
      <c r="E44" s="12">
        <f>18800000+14400000</f>
        <v>33200000</v>
      </c>
      <c r="F44" s="12">
        <f>17696446+14209625</f>
        <v>31906071</v>
      </c>
      <c r="G44" s="28">
        <f t="shared" ref="G44:G95" si="1">F44/E44</f>
        <v>0.96102623493975903</v>
      </c>
      <c r="H44" s="40"/>
    </row>
    <row r="45" spans="1:8" s="26" customFormat="1" ht="30.75" customHeight="1" x14ac:dyDescent="0.3">
      <c r="A45" s="59"/>
      <c r="B45" s="63"/>
      <c r="C45" s="39" t="s">
        <v>48</v>
      </c>
      <c r="D45" s="41" t="s">
        <v>49</v>
      </c>
      <c r="E45" s="12">
        <f>3098.9+2195.7</f>
        <v>5294.6</v>
      </c>
      <c r="F45" s="12">
        <f>3098.9+2195.7</f>
        <v>5294.6</v>
      </c>
      <c r="G45" s="28"/>
      <c r="H45" s="40"/>
    </row>
    <row r="46" spans="1:8" s="26" customFormat="1" ht="43.5" customHeight="1" x14ac:dyDescent="0.3">
      <c r="A46" s="59"/>
      <c r="B46" s="62" t="s">
        <v>4</v>
      </c>
      <c r="C46" s="39" t="s">
        <v>50</v>
      </c>
      <c r="D46" s="41" t="s">
        <v>49</v>
      </c>
      <c r="E46" s="12">
        <f>3098.9+2195.7</f>
        <v>5294.6</v>
      </c>
      <c r="F46" s="12">
        <f>3024.41+1680.44</f>
        <v>4704.8500000000004</v>
      </c>
      <c r="G46" s="28"/>
      <c r="H46" s="40"/>
    </row>
    <row r="47" spans="1:8" s="26" customFormat="1" ht="28.5" customHeight="1" x14ac:dyDescent="0.3">
      <c r="A47" s="59"/>
      <c r="B47" s="63"/>
      <c r="C47" s="39" t="s">
        <v>51</v>
      </c>
      <c r="D47" s="41" t="s">
        <v>33</v>
      </c>
      <c r="E47" s="41">
        <v>1</v>
      </c>
      <c r="F47" s="41">
        <v>1</v>
      </c>
      <c r="G47" s="28"/>
      <c r="H47" s="40"/>
    </row>
    <row r="48" spans="1:8" s="26" customFormat="1" ht="27.75" customHeight="1" x14ac:dyDescent="0.3">
      <c r="A48" s="59"/>
      <c r="B48" s="62" t="s">
        <v>7</v>
      </c>
      <c r="C48" s="39" t="s">
        <v>52</v>
      </c>
      <c r="D48" s="41" t="s">
        <v>53</v>
      </c>
      <c r="E48" s="12">
        <f>(E44-E50-E49)/E46</f>
        <v>6042.4432440599849</v>
      </c>
      <c r="F48" s="12">
        <f>(F44-F49)/F46</f>
        <v>6696.4411192705393</v>
      </c>
      <c r="G48" s="28"/>
      <c r="H48" s="40"/>
    </row>
    <row r="49" spans="1:8" s="26" customFormat="1" ht="18.600000000000001" customHeight="1" x14ac:dyDescent="0.3">
      <c r="A49" s="59"/>
      <c r="B49" s="74"/>
      <c r="C49" s="39" t="s">
        <v>54</v>
      </c>
      <c r="D49" s="41" t="s">
        <v>31</v>
      </c>
      <c r="E49" s="12">
        <v>400320</v>
      </c>
      <c r="F49" s="12">
        <v>400320</v>
      </c>
      <c r="G49" s="28"/>
      <c r="H49" s="40"/>
    </row>
    <row r="50" spans="1:8" s="26" customFormat="1" ht="30" customHeight="1" x14ac:dyDescent="0.3">
      <c r="A50" s="59"/>
      <c r="B50" s="63"/>
      <c r="C50" s="39" t="s">
        <v>55</v>
      </c>
      <c r="D50" s="41" t="s">
        <v>53</v>
      </c>
      <c r="E50" s="12">
        <v>807360</v>
      </c>
      <c r="F50" s="12">
        <v>0</v>
      </c>
      <c r="G50" s="28"/>
      <c r="H50" s="40"/>
    </row>
    <row r="51" spans="1:8" s="26" customFormat="1" ht="29.25" customHeight="1" x14ac:dyDescent="0.3">
      <c r="A51" s="60"/>
      <c r="B51" s="41" t="s">
        <v>5</v>
      </c>
      <c r="C51" s="39" t="s">
        <v>56</v>
      </c>
      <c r="D51" s="41" t="s">
        <v>24</v>
      </c>
      <c r="E51" s="12">
        <v>100</v>
      </c>
      <c r="F51" s="28">
        <f>F46/F45</f>
        <v>0.88861292637781897</v>
      </c>
      <c r="G51" s="28"/>
      <c r="H51" s="40"/>
    </row>
    <row r="52" spans="1:8" s="26" customFormat="1" ht="29.25" customHeight="1" x14ac:dyDescent="0.3">
      <c r="A52" s="61" t="s">
        <v>216</v>
      </c>
      <c r="B52" s="41" t="s">
        <v>6</v>
      </c>
      <c r="C52" s="39" t="s">
        <v>30</v>
      </c>
      <c r="D52" s="41" t="s">
        <v>31</v>
      </c>
      <c r="E52" s="12">
        <v>273558</v>
      </c>
      <c r="F52" s="12">
        <v>273558</v>
      </c>
      <c r="G52" s="28">
        <f>F52/E52</f>
        <v>1</v>
      </c>
      <c r="H52" s="40"/>
    </row>
    <row r="53" spans="1:8" s="26" customFormat="1" ht="22.8" customHeight="1" x14ac:dyDescent="0.3">
      <c r="A53" s="61"/>
      <c r="B53" s="41" t="s">
        <v>4</v>
      </c>
      <c r="C53" s="39" t="s">
        <v>69</v>
      </c>
      <c r="D53" s="41" t="s">
        <v>33</v>
      </c>
      <c r="E53" s="14">
        <v>1</v>
      </c>
      <c r="F53" s="14">
        <v>1</v>
      </c>
      <c r="G53" s="28"/>
      <c r="H53" s="40"/>
    </row>
    <row r="54" spans="1:8" s="26" customFormat="1" ht="29.25" customHeight="1" x14ac:dyDescent="0.3">
      <c r="A54" s="61"/>
      <c r="B54" s="41" t="s">
        <v>7</v>
      </c>
      <c r="C54" s="39" t="s">
        <v>71</v>
      </c>
      <c r="D54" s="41" t="s">
        <v>31</v>
      </c>
      <c r="E54" s="12">
        <f>E52/E53</f>
        <v>273558</v>
      </c>
      <c r="F54" s="12">
        <f>F52/F53</f>
        <v>273558</v>
      </c>
      <c r="G54" s="28"/>
      <c r="H54" s="40"/>
    </row>
    <row r="55" spans="1:8" s="26" customFormat="1" ht="29.25" customHeight="1" x14ac:dyDescent="0.3">
      <c r="A55" s="61"/>
      <c r="B55" s="41" t="s">
        <v>5</v>
      </c>
      <c r="C55" s="39" t="s">
        <v>73</v>
      </c>
      <c r="D55" s="41" t="s">
        <v>24</v>
      </c>
      <c r="E55" s="12">
        <v>100</v>
      </c>
      <c r="F55" s="12">
        <v>101</v>
      </c>
      <c r="G55" s="28"/>
      <c r="H55" s="40"/>
    </row>
    <row r="56" spans="1:8" s="26" customFormat="1" ht="18.600000000000001" customHeight="1" x14ac:dyDescent="0.3">
      <c r="A56" s="61" t="s">
        <v>217</v>
      </c>
      <c r="B56" s="62" t="s">
        <v>6</v>
      </c>
      <c r="C56" s="39" t="s">
        <v>30</v>
      </c>
      <c r="D56" s="41" t="s">
        <v>31</v>
      </c>
      <c r="E56" s="12">
        <f>2640000+5596886</f>
        <v>8236886</v>
      </c>
      <c r="F56" s="12">
        <f>5596885.22+2612436.01</f>
        <v>8209321.2299999995</v>
      </c>
      <c r="G56" s="28">
        <f>F56/E56</f>
        <v>0.99665349623632027</v>
      </c>
      <c r="H56" s="40"/>
    </row>
    <row r="57" spans="1:8" s="26" customFormat="1" ht="18" customHeight="1" x14ac:dyDescent="0.3">
      <c r="A57" s="61"/>
      <c r="B57" s="63"/>
      <c r="C57" s="39" t="s">
        <v>58</v>
      </c>
      <c r="D57" s="41" t="s">
        <v>49</v>
      </c>
      <c r="E57" s="12">
        <v>3760</v>
      </c>
      <c r="F57" s="12">
        <v>3760</v>
      </c>
      <c r="G57" s="28"/>
      <c r="H57" s="40"/>
    </row>
    <row r="58" spans="1:8" s="26" customFormat="1" ht="17.399999999999999" customHeight="1" x14ac:dyDescent="0.3">
      <c r="A58" s="61"/>
      <c r="B58" s="41" t="s">
        <v>4</v>
      </c>
      <c r="C58" s="39" t="s">
        <v>59</v>
      </c>
      <c r="D58" s="41" t="s">
        <v>49</v>
      </c>
      <c r="E58" s="12">
        <f>720+1565</f>
        <v>2285</v>
      </c>
      <c r="F58" s="12">
        <v>2285</v>
      </c>
      <c r="G58" s="28"/>
      <c r="H58" s="40"/>
    </row>
    <row r="59" spans="1:8" s="26" customFormat="1" ht="22.8" customHeight="1" x14ac:dyDescent="0.3">
      <c r="A59" s="61"/>
      <c r="B59" s="41" t="s">
        <v>7</v>
      </c>
      <c r="C59" s="39" t="s">
        <v>60</v>
      </c>
      <c r="D59" s="41" t="s">
        <v>53</v>
      </c>
      <c r="E59" s="12">
        <f>E56/E58</f>
        <v>3604.764113785558</v>
      </c>
      <c r="F59" s="12">
        <f>F56/F58</f>
        <v>3592.7007571115973</v>
      </c>
      <c r="G59" s="28"/>
      <c r="H59" s="40"/>
    </row>
    <row r="60" spans="1:8" s="26" customFormat="1" ht="29.25" customHeight="1" x14ac:dyDescent="0.3">
      <c r="A60" s="61"/>
      <c r="B60" s="41" t="s">
        <v>5</v>
      </c>
      <c r="C60" s="39" t="s">
        <v>61</v>
      </c>
      <c r="D60" s="41" t="s">
        <v>24</v>
      </c>
      <c r="E60" s="12">
        <f>E58*100/E57</f>
        <v>60.771276595744681</v>
      </c>
      <c r="F60" s="12">
        <f>F58*100/F57</f>
        <v>60.771276595744681</v>
      </c>
      <c r="G60" s="28"/>
      <c r="H60" s="40"/>
    </row>
    <row r="61" spans="1:8" s="26" customFormat="1" ht="15" customHeight="1" x14ac:dyDescent="0.3">
      <c r="A61" s="61" t="s">
        <v>275</v>
      </c>
      <c r="B61" s="62" t="s">
        <v>6</v>
      </c>
      <c r="C61" s="39" t="s">
        <v>30</v>
      </c>
      <c r="D61" s="41" t="s">
        <v>31</v>
      </c>
      <c r="E61" s="12">
        <v>130000</v>
      </c>
      <c r="F61" s="12">
        <v>130000</v>
      </c>
      <c r="G61" s="28">
        <f>F61/E61</f>
        <v>1</v>
      </c>
      <c r="H61" s="40"/>
    </row>
    <row r="62" spans="1:8" s="26" customFormat="1" ht="16.8" customHeight="1" x14ac:dyDescent="0.3">
      <c r="A62" s="61"/>
      <c r="B62" s="63"/>
      <c r="C62" s="39" t="s">
        <v>58</v>
      </c>
      <c r="D62" s="41" t="s">
        <v>49</v>
      </c>
      <c r="E62" s="12">
        <v>1880</v>
      </c>
      <c r="F62" s="12">
        <v>1880</v>
      </c>
      <c r="G62" s="28"/>
      <c r="H62" s="40"/>
    </row>
    <row r="63" spans="1:8" s="26" customFormat="1" ht="17.399999999999999" customHeight="1" x14ac:dyDescent="0.3">
      <c r="A63" s="61"/>
      <c r="B63" s="41" t="s">
        <v>4</v>
      </c>
      <c r="C63" s="39" t="s">
        <v>59</v>
      </c>
      <c r="D63" s="41" t="s">
        <v>49</v>
      </c>
      <c r="E63" s="12">
        <v>0</v>
      </c>
      <c r="F63" s="12">
        <v>0</v>
      </c>
      <c r="G63" s="28"/>
      <c r="H63" s="40"/>
    </row>
    <row r="64" spans="1:8" s="26" customFormat="1" ht="18" customHeight="1" x14ac:dyDescent="0.3">
      <c r="A64" s="61"/>
      <c r="B64" s="41" t="s">
        <v>7</v>
      </c>
      <c r="C64" s="39" t="s">
        <v>60</v>
      </c>
      <c r="D64" s="41" t="s">
        <v>53</v>
      </c>
      <c r="E64" s="12">
        <v>0</v>
      </c>
      <c r="F64" s="12">
        <v>0</v>
      </c>
      <c r="G64" s="28"/>
      <c r="H64" s="40"/>
    </row>
    <row r="65" spans="1:8" s="26" customFormat="1" ht="29.25" customHeight="1" x14ac:dyDescent="0.3">
      <c r="A65" s="61"/>
      <c r="B65" s="41" t="s">
        <v>5</v>
      </c>
      <c r="C65" s="39" t="s">
        <v>61</v>
      </c>
      <c r="D65" s="41" t="s">
        <v>24</v>
      </c>
      <c r="E65" s="12">
        <v>0</v>
      </c>
      <c r="F65" s="12">
        <v>0</v>
      </c>
      <c r="G65" s="28"/>
      <c r="H65" s="40"/>
    </row>
    <row r="66" spans="1:8" s="26" customFormat="1" ht="18.600000000000001" customHeight="1" x14ac:dyDescent="0.3">
      <c r="A66" s="61" t="s">
        <v>218</v>
      </c>
      <c r="B66" s="37" t="s">
        <v>6</v>
      </c>
      <c r="C66" s="39" t="s">
        <v>30</v>
      </c>
      <c r="D66" s="41" t="s">
        <v>31</v>
      </c>
      <c r="E66" s="12">
        <f>200000+563192</f>
        <v>763192</v>
      </c>
      <c r="F66" s="12">
        <v>563117</v>
      </c>
      <c r="G66" s="28">
        <f>F66/E66</f>
        <v>0.73784447426073652</v>
      </c>
      <c r="H66" s="40"/>
    </row>
    <row r="67" spans="1:8" s="26" customFormat="1" ht="29.25" customHeight="1" x14ac:dyDescent="0.3">
      <c r="A67" s="61"/>
      <c r="B67" s="41" t="s">
        <v>4</v>
      </c>
      <c r="C67" s="39" t="s">
        <v>219</v>
      </c>
      <c r="D67" s="41" t="s">
        <v>220</v>
      </c>
      <c r="E67" s="12">
        <v>140</v>
      </c>
      <c r="F67" s="12">
        <v>140</v>
      </c>
      <c r="G67" s="28"/>
      <c r="H67" s="40"/>
    </row>
    <row r="68" spans="1:8" s="26" customFormat="1" ht="20.399999999999999" customHeight="1" x14ac:dyDescent="0.3">
      <c r="A68" s="61"/>
      <c r="B68" s="41" t="s">
        <v>7</v>
      </c>
      <c r="C68" s="39" t="s">
        <v>221</v>
      </c>
      <c r="D68" s="41" t="s">
        <v>211</v>
      </c>
      <c r="E68" s="12">
        <f>563192/140</f>
        <v>4022.8</v>
      </c>
      <c r="F68" s="12">
        <v>4022.26</v>
      </c>
      <c r="G68" s="28"/>
      <c r="H68" s="40"/>
    </row>
    <row r="69" spans="1:8" s="26" customFormat="1" ht="29.25" customHeight="1" x14ac:dyDescent="0.3">
      <c r="A69" s="61"/>
      <c r="B69" s="41" t="s">
        <v>5</v>
      </c>
      <c r="C69" s="39" t="s">
        <v>222</v>
      </c>
      <c r="D69" s="41" t="s">
        <v>24</v>
      </c>
      <c r="E69" s="12">
        <v>100</v>
      </c>
      <c r="F69" s="12">
        <v>100</v>
      </c>
      <c r="G69" s="28"/>
      <c r="H69" s="40"/>
    </row>
    <row r="70" spans="1:8" s="26" customFormat="1" x14ac:dyDescent="0.3">
      <c r="A70" s="58" t="s">
        <v>57</v>
      </c>
      <c r="B70" s="62" t="s">
        <v>6</v>
      </c>
      <c r="C70" s="39" t="s">
        <v>30</v>
      </c>
      <c r="D70" s="41" t="s">
        <v>31</v>
      </c>
      <c r="E70" s="12">
        <f>9500000+16900000</f>
        <v>26400000</v>
      </c>
      <c r="F70" s="12">
        <f>7263694.03+16796794.05</f>
        <v>24060488.080000002</v>
      </c>
      <c r="G70" s="28">
        <f t="shared" si="1"/>
        <v>0.91138212424242426</v>
      </c>
      <c r="H70" s="40"/>
    </row>
    <row r="71" spans="1:8" s="26" customFormat="1" ht="15" customHeight="1" x14ac:dyDescent="0.3">
      <c r="A71" s="59"/>
      <c r="B71" s="63"/>
      <c r="C71" s="39" t="s">
        <v>58</v>
      </c>
      <c r="D71" s="41" t="s">
        <v>49</v>
      </c>
      <c r="E71" s="12">
        <v>2725</v>
      </c>
      <c r="F71" s="12">
        <v>2725</v>
      </c>
      <c r="G71" s="28"/>
      <c r="H71" s="40"/>
    </row>
    <row r="72" spans="1:8" s="26" customFormat="1" ht="29.25" customHeight="1" x14ac:dyDescent="0.3">
      <c r="A72" s="59"/>
      <c r="B72" s="41" t="s">
        <v>4</v>
      </c>
      <c r="C72" s="39" t="s">
        <v>59</v>
      </c>
      <c r="D72" s="41" t="s">
        <v>49</v>
      </c>
      <c r="E72" s="12">
        <f>860+1865</f>
        <v>2725</v>
      </c>
      <c r="F72" s="12">
        <f>1865+450</f>
        <v>2315</v>
      </c>
      <c r="G72" s="28"/>
      <c r="H72" s="40"/>
    </row>
    <row r="73" spans="1:8" s="26" customFormat="1" ht="18" customHeight="1" x14ac:dyDescent="0.3">
      <c r="A73" s="59"/>
      <c r="B73" s="41" t="s">
        <v>7</v>
      </c>
      <c r="C73" s="39" t="s">
        <v>60</v>
      </c>
      <c r="D73" s="41" t="s">
        <v>53</v>
      </c>
      <c r="E73" s="12">
        <f>E70/E72</f>
        <v>9688.0733944954136</v>
      </c>
      <c r="F73" s="12">
        <f>F70/F72</f>
        <v>10393.299386609073</v>
      </c>
      <c r="G73" s="28"/>
      <c r="H73" s="40"/>
    </row>
    <row r="74" spans="1:8" s="26" customFormat="1" ht="29.25" customHeight="1" x14ac:dyDescent="0.3">
      <c r="A74" s="60"/>
      <c r="B74" s="41" t="s">
        <v>5</v>
      </c>
      <c r="C74" s="39" t="s">
        <v>61</v>
      </c>
      <c r="D74" s="41" t="s">
        <v>24</v>
      </c>
      <c r="E74" s="12">
        <v>100</v>
      </c>
      <c r="F74" s="28">
        <f>F72/F71</f>
        <v>0.84954128440366972</v>
      </c>
      <c r="G74" s="28"/>
      <c r="H74" s="40"/>
    </row>
    <row r="75" spans="1:8" s="26" customFormat="1" x14ac:dyDescent="0.3">
      <c r="A75" s="58" t="s">
        <v>276</v>
      </c>
      <c r="B75" s="62" t="s">
        <v>6</v>
      </c>
      <c r="C75" s="39" t="s">
        <v>30</v>
      </c>
      <c r="D75" s="41" t="s">
        <v>31</v>
      </c>
      <c r="E75" s="12">
        <f>7000000+4500000</f>
        <v>11500000</v>
      </c>
      <c r="F75" s="12">
        <f>6918127.73+4484845.21</f>
        <v>11402972.940000001</v>
      </c>
      <c r="G75" s="28">
        <f t="shared" si="1"/>
        <v>0.99156286434782626</v>
      </c>
      <c r="H75" s="40"/>
    </row>
    <row r="76" spans="1:8" s="26" customFormat="1" x14ac:dyDescent="0.3">
      <c r="A76" s="59"/>
      <c r="B76" s="63"/>
      <c r="C76" s="39" t="s">
        <v>58</v>
      </c>
      <c r="D76" s="41" t="s">
        <v>49</v>
      </c>
      <c r="E76" s="12">
        <v>1109.5999999999999</v>
      </c>
      <c r="F76" s="12">
        <v>1109.5999999999999</v>
      </c>
      <c r="G76" s="28"/>
      <c r="H76" s="40"/>
    </row>
    <row r="77" spans="1:8" s="26" customFormat="1" ht="18.600000000000001" customHeight="1" x14ac:dyDescent="0.3">
      <c r="A77" s="59"/>
      <c r="B77" s="41" t="s">
        <v>4</v>
      </c>
      <c r="C77" s="39" t="s">
        <v>59</v>
      </c>
      <c r="D77" s="41" t="s">
        <v>49</v>
      </c>
      <c r="E77" s="12">
        <f>568+541.6</f>
        <v>1109.5999999999999</v>
      </c>
      <c r="F77" s="12">
        <v>1109.5999999999999</v>
      </c>
      <c r="G77" s="28"/>
      <c r="H77" s="40"/>
    </row>
    <row r="78" spans="1:8" s="26" customFormat="1" ht="20.25" customHeight="1" x14ac:dyDescent="0.3">
      <c r="A78" s="59"/>
      <c r="B78" s="41" t="s">
        <v>7</v>
      </c>
      <c r="C78" s="39" t="s">
        <v>60</v>
      </c>
      <c r="D78" s="41" t="s">
        <v>53</v>
      </c>
      <c r="E78" s="12">
        <f>E75/E77</f>
        <v>10364.095169430426</v>
      </c>
      <c r="F78" s="12">
        <f>F75/F77</f>
        <v>10276.651892573902</v>
      </c>
      <c r="G78" s="28"/>
      <c r="H78" s="40"/>
    </row>
    <row r="79" spans="1:8" s="26" customFormat="1" ht="26.4" x14ac:dyDescent="0.3">
      <c r="A79" s="60"/>
      <c r="B79" s="41" t="s">
        <v>5</v>
      </c>
      <c r="C79" s="39" t="s">
        <v>61</v>
      </c>
      <c r="D79" s="41" t="s">
        <v>24</v>
      </c>
      <c r="E79" s="12">
        <v>100</v>
      </c>
      <c r="F79" s="12">
        <v>100</v>
      </c>
      <c r="G79" s="28"/>
      <c r="H79" s="40"/>
    </row>
    <row r="80" spans="1:8" s="26" customFormat="1" x14ac:dyDescent="0.3">
      <c r="A80" s="58" t="s">
        <v>62</v>
      </c>
      <c r="B80" s="62" t="s">
        <v>6</v>
      </c>
      <c r="C80" s="39" t="s">
        <v>30</v>
      </c>
      <c r="D80" s="41" t="s">
        <v>31</v>
      </c>
      <c r="E80" s="12">
        <f>7200000+6838908</f>
        <v>14038908</v>
      </c>
      <c r="F80" s="12">
        <f>5855467.68+6838881.75</f>
        <v>12694349.43</v>
      </c>
      <c r="G80" s="28">
        <v>0.99990000000000001</v>
      </c>
      <c r="H80" s="40"/>
    </row>
    <row r="81" spans="1:8" s="26" customFormat="1" ht="15" customHeight="1" x14ac:dyDescent="0.3">
      <c r="A81" s="59"/>
      <c r="B81" s="63"/>
      <c r="C81" s="39" t="s">
        <v>58</v>
      </c>
      <c r="D81" s="41" t="s">
        <v>49</v>
      </c>
      <c r="E81" s="12">
        <v>1416</v>
      </c>
      <c r="F81" s="12">
        <v>1416</v>
      </c>
      <c r="G81" s="28"/>
      <c r="H81" s="40"/>
    </row>
    <row r="82" spans="1:8" s="26" customFormat="1" ht="30" customHeight="1" x14ac:dyDescent="0.3">
      <c r="A82" s="59"/>
      <c r="B82" s="41" t="s">
        <v>4</v>
      </c>
      <c r="C82" s="39" t="s">
        <v>59</v>
      </c>
      <c r="D82" s="41" t="s">
        <v>49</v>
      </c>
      <c r="E82" s="12">
        <f>764+652</f>
        <v>1416</v>
      </c>
      <c r="F82" s="12">
        <f>605+652</f>
        <v>1257</v>
      </c>
      <c r="G82" s="28"/>
      <c r="H82" s="40"/>
    </row>
    <row r="83" spans="1:8" s="26" customFormat="1" ht="19.5" customHeight="1" x14ac:dyDescent="0.3">
      <c r="A83" s="59"/>
      <c r="B83" s="41" t="s">
        <v>7</v>
      </c>
      <c r="C83" s="39" t="s">
        <v>60</v>
      </c>
      <c r="D83" s="41" t="s">
        <v>53</v>
      </c>
      <c r="E83" s="12">
        <f>E80/E82</f>
        <v>9914.483050847457</v>
      </c>
      <c r="F83" s="12">
        <f>F80/F82</f>
        <v>10098.925560859188</v>
      </c>
      <c r="G83" s="28"/>
      <c r="H83" s="40"/>
    </row>
    <row r="84" spans="1:8" s="26" customFormat="1" ht="29.25" customHeight="1" x14ac:dyDescent="0.3">
      <c r="A84" s="60"/>
      <c r="B84" s="41" t="s">
        <v>5</v>
      </c>
      <c r="C84" s="39" t="s">
        <v>61</v>
      </c>
      <c r="D84" s="41" t="s">
        <v>24</v>
      </c>
      <c r="E84" s="12">
        <v>100</v>
      </c>
      <c r="F84" s="28">
        <f>F82/F81</f>
        <v>0.88771186440677963</v>
      </c>
      <c r="G84" s="28"/>
      <c r="H84" s="40"/>
    </row>
    <row r="85" spans="1:8" s="26" customFormat="1" x14ac:dyDescent="0.3">
      <c r="A85" s="58" t="s">
        <v>63</v>
      </c>
      <c r="B85" s="62" t="s">
        <v>6</v>
      </c>
      <c r="C85" s="39" t="s">
        <v>30</v>
      </c>
      <c r="D85" s="41" t="s">
        <v>31</v>
      </c>
      <c r="E85" s="12">
        <f>8250000+2599351</f>
        <v>10849351</v>
      </c>
      <c r="F85" s="12">
        <f>5704276.21+2599351</f>
        <v>8303627.21</v>
      </c>
      <c r="G85" s="28">
        <f t="shared" si="1"/>
        <v>0.76535704393746684</v>
      </c>
      <c r="H85" s="40"/>
    </row>
    <row r="86" spans="1:8" s="26" customFormat="1" ht="15" customHeight="1" x14ac:dyDescent="0.3">
      <c r="A86" s="59"/>
      <c r="B86" s="63"/>
      <c r="C86" s="39" t="s">
        <v>58</v>
      </c>
      <c r="D86" s="41" t="s">
        <v>49</v>
      </c>
      <c r="E86" s="12">
        <v>1160</v>
      </c>
      <c r="F86" s="12">
        <v>1160</v>
      </c>
      <c r="G86" s="28"/>
      <c r="H86" s="40"/>
    </row>
    <row r="87" spans="1:8" s="26" customFormat="1" ht="26.4" x14ac:dyDescent="0.3">
      <c r="A87" s="59"/>
      <c r="B87" s="41" t="s">
        <v>4</v>
      </c>
      <c r="C87" s="39" t="s">
        <v>59</v>
      </c>
      <c r="D87" s="41" t="s">
        <v>49</v>
      </c>
      <c r="E87" s="12">
        <f>795+365</f>
        <v>1160</v>
      </c>
      <c r="F87" s="12">
        <v>1160</v>
      </c>
      <c r="G87" s="28"/>
      <c r="H87" s="40"/>
    </row>
    <row r="88" spans="1:8" s="26" customFormat="1" x14ac:dyDescent="0.3">
      <c r="A88" s="59"/>
      <c r="B88" s="41" t="s">
        <v>7</v>
      </c>
      <c r="C88" s="39" t="s">
        <v>60</v>
      </c>
      <c r="D88" s="41" t="s">
        <v>53</v>
      </c>
      <c r="E88" s="12">
        <f>E85/E87</f>
        <v>9352.8887931034478</v>
      </c>
      <c r="F88" s="12">
        <f>F85/F87</f>
        <v>7158.2993189655172</v>
      </c>
      <c r="G88" s="28"/>
      <c r="H88" s="40"/>
    </row>
    <row r="89" spans="1:8" s="26" customFormat="1" ht="26.4" x14ac:dyDescent="0.3">
      <c r="A89" s="60"/>
      <c r="B89" s="41" t="s">
        <v>5</v>
      </c>
      <c r="C89" s="39" t="s">
        <v>61</v>
      </c>
      <c r="D89" s="41" t="s">
        <v>24</v>
      </c>
      <c r="E89" s="12">
        <v>100</v>
      </c>
      <c r="F89" s="12">
        <v>100</v>
      </c>
      <c r="G89" s="28"/>
      <c r="H89" s="40"/>
    </row>
    <row r="90" spans="1:8" s="26" customFormat="1" x14ac:dyDescent="0.3">
      <c r="A90" s="58" t="s">
        <v>277</v>
      </c>
      <c r="B90" s="62" t="s">
        <v>6</v>
      </c>
      <c r="C90" s="39" t="s">
        <v>30</v>
      </c>
      <c r="D90" s="41" t="s">
        <v>31</v>
      </c>
      <c r="E90" s="12">
        <f>4753114+9243791</f>
        <v>13996905</v>
      </c>
      <c r="F90" s="12">
        <f>2190954.76+9179033.15</f>
        <v>11369987.91</v>
      </c>
      <c r="G90" s="28">
        <f t="shared" si="1"/>
        <v>0.81232157466239863</v>
      </c>
      <c r="H90" s="40"/>
    </row>
    <row r="91" spans="1:8" s="26" customFormat="1" ht="15" customHeight="1" x14ac:dyDescent="0.3">
      <c r="A91" s="59"/>
      <c r="B91" s="63"/>
      <c r="C91" s="39" t="s">
        <v>64</v>
      </c>
      <c r="D91" s="41" t="s">
        <v>49</v>
      </c>
      <c r="E91" s="12">
        <v>1100</v>
      </c>
      <c r="F91" s="12">
        <v>1100</v>
      </c>
      <c r="G91" s="28"/>
      <c r="H91" s="40"/>
    </row>
    <row r="92" spans="1:8" s="26" customFormat="1" x14ac:dyDescent="0.3">
      <c r="A92" s="59"/>
      <c r="B92" s="41" t="s">
        <v>4</v>
      </c>
      <c r="C92" s="39" t="s">
        <v>65</v>
      </c>
      <c r="D92" s="41" t="s">
        <v>49</v>
      </c>
      <c r="E92" s="12">
        <f>260+840</f>
        <v>1100</v>
      </c>
      <c r="F92" s="12">
        <v>1100</v>
      </c>
      <c r="G92" s="28"/>
      <c r="H92" s="40"/>
    </row>
    <row r="93" spans="1:8" s="26" customFormat="1" x14ac:dyDescent="0.3">
      <c r="A93" s="59"/>
      <c r="B93" s="41" t="s">
        <v>7</v>
      </c>
      <c r="C93" s="39" t="s">
        <v>66</v>
      </c>
      <c r="D93" s="41" t="s">
        <v>53</v>
      </c>
      <c r="E93" s="12">
        <f>E90/E92</f>
        <v>12724.459090909091</v>
      </c>
      <c r="F93" s="12">
        <f>F90/F92</f>
        <v>10336.352645454546</v>
      </c>
      <c r="G93" s="28"/>
      <c r="H93" s="40"/>
    </row>
    <row r="94" spans="1:8" s="26" customFormat="1" ht="26.4" x14ac:dyDescent="0.3">
      <c r="A94" s="60"/>
      <c r="B94" s="41" t="s">
        <v>5</v>
      </c>
      <c r="C94" s="39" t="s">
        <v>67</v>
      </c>
      <c r="D94" s="41" t="s">
        <v>24</v>
      </c>
      <c r="E94" s="12">
        <f>100</f>
        <v>100</v>
      </c>
      <c r="F94" s="12">
        <v>100</v>
      </c>
      <c r="G94" s="28"/>
      <c r="H94" s="40"/>
    </row>
    <row r="95" spans="1:8" s="26" customFormat="1" x14ac:dyDescent="0.3">
      <c r="A95" s="58" t="s">
        <v>278</v>
      </c>
      <c r="B95" s="62" t="s">
        <v>6</v>
      </c>
      <c r="C95" s="39" t="s">
        <v>30</v>
      </c>
      <c r="D95" s="41" t="s">
        <v>31</v>
      </c>
      <c r="E95" s="12">
        <f>595000+14700000</f>
        <v>15295000</v>
      </c>
      <c r="F95" s="12">
        <f>401574</f>
        <v>401574</v>
      </c>
      <c r="G95" s="28">
        <f t="shared" si="1"/>
        <v>2.6255246812683885E-2</v>
      </c>
      <c r="H95" s="62" t="s">
        <v>271</v>
      </c>
    </row>
    <row r="96" spans="1:8" s="26" customFormat="1" ht="20.25" customHeight="1" x14ac:dyDescent="0.3">
      <c r="A96" s="59"/>
      <c r="B96" s="74"/>
      <c r="C96" s="39" t="s">
        <v>58</v>
      </c>
      <c r="D96" s="41" t="s">
        <v>49</v>
      </c>
      <c r="E96" s="12">
        <v>1305</v>
      </c>
      <c r="F96" s="12">
        <v>1305</v>
      </c>
      <c r="G96" s="28"/>
      <c r="H96" s="74"/>
    </row>
    <row r="97" spans="1:8" s="26" customFormat="1" ht="19.5" customHeight="1" x14ac:dyDescent="0.3">
      <c r="A97" s="59"/>
      <c r="B97" s="63"/>
      <c r="C97" s="39" t="s">
        <v>68</v>
      </c>
      <c r="D97" s="41" t="s">
        <v>49</v>
      </c>
      <c r="E97" s="12">
        <v>161.94</v>
      </c>
      <c r="F97" s="12">
        <v>161.94</v>
      </c>
      <c r="G97" s="28"/>
      <c r="H97" s="74"/>
    </row>
    <row r="98" spans="1:8" s="26" customFormat="1" x14ac:dyDescent="0.3">
      <c r="A98" s="59"/>
      <c r="B98" s="62" t="s">
        <v>4</v>
      </c>
      <c r="C98" s="39" t="s">
        <v>69</v>
      </c>
      <c r="D98" s="41" t="s">
        <v>33</v>
      </c>
      <c r="E98" s="14">
        <v>1</v>
      </c>
      <c r="F98" s="41">
        <v>1</v>
      </c>
      <c r="G98" s="28"/>
      <c r="H98" s="74"/>
    </row>
    <row r="99" spans="1:8" s="26" customFormat="1" ht="26.4" x14ac:dyDescent="0.3">
      <c r="A99" s="59"/>
      <c r="B99" s="74"/>
      <c r="C99" s="39" t="s">
        <v>59</v>
      </c>
      <c r="D99" s="41" t="s">
        <v>49</v>
      </c>
      <c r="E99" s="12">
        <v>1305</v>
      </c>
      <c r="F99" s="12">
        <v>0</v>
      </c>
      <c r="G99" s="28"/>
      <c r="H99" s="74"/>
    </row>
    <row r="100" spans="1:8" s="26" customFormat="1" ht="26.4" x14ac:dyDescent="0.3">
      <c r="A100" s="59"/>
      <c r="B100" s="63"/>
      <c r="C100" s="39" t="s">
        <v>70</v>
      </c>
      <c r="D100" s="41" t="s">
        <v>49</v>
      </c>
      <c r="E100" s="12">
        <v>161.94</v>
      </c>
      <c r="F100" s="12">
        <v>0</v>
      </c>
      <c r="G100" s="28"/>
      <c r="H100" s="74"/>
    </row>
    <row r="101" spans="1:8" s="26" customFormat="1" ht="26.4" x14ac:dyDescent="0.3">
      <c r="A101" s="59"/>
      <c r="B101" s="62" t="s">
        <v>7</v>
      </c>
      <c r="C101" s="39" t="s">
        <v>71</v>
      </c>
      <c r="D101" s="41" t="s">
        <v>31</v>
      </c>
      <c r="E101" s="12">
        <v>595000</v>
      </c>
      <c r="F101" s="12">
        <f>F95</f>
        <v>401574</v>
      </c>
      <c r="G101" s="28"/>
      <c r="H101" s="74"/>
    </row>
    <row r="102" spans="1:8" s="26" customFormat="1" ht="21.75" customHeight="1" x14ac:dyDescent="0.3">
      <c r="A102" s="59"/>
      <c r="B102" s="74"/>
      <c r="C102" s="39" t="s">
        <v>60</v>
      </c>
      <c r="D102" s="41" t="s">
        <v>53</v>
      </c>
      <c r="E102" s="12">
        <v>10395.719999999999</v>
      </c>
      <c r="F102" s="12">
        <v>0</v>
      </c>
      <c r="G102" s="28"/>
      <c r="H102" s="74"/>
    </row>
    <row r="103" spans="1:8" s="26" customFormat="1" ht="27" customHeight="1" x14ac:dyDescent="0.3">
      <c r="A103" s="59"/>
      <c r="B103" s="63"/>
      <c r="C103" s="39" t="s">
        <v>72</v>
      </c>
      <c r="D103" s="41" t="s">
        <v>53</v>
      </c>
      <c r="E103" s="12">
        <v>7000</v>
      </c>
      <c r="F103" s="12">
        <v>0</v>
      </c>
      <c r="G103" s="28"/>
      <c r="H103" s="74"/>
    </row>
    <row r="104" spans="1:8" s="26" customFormat="1" ht="32.25" customHeight="1" x14ac:dyDescent="0.3">
      <c r="A104" s="59"/>
      <c r="B104" s="62" t="s">
        <v>5</v>
      </c>
      <c r="C104" s="39" t="s">
        <v>73</v>
      </c>
      <c r="D104" s="41" t="s">
        <v>24</v>
      </c>
      <c r="E104" s="12">
        <v>100</v>
      </c>
      <c r="F104" s="12">
        <v>100</v>
      </c>
      <c r="G104" s="28"/>
      <c r="H104" s="74"/>
    </row>
    <row r="105" spans="1:8" s="26" customFormat="1" ht="29.25" customHeight="1" x14ac:dyDescent="0.3">
      <c r="A105" s="59"/>
      <c r="B105" s="74"/>
      <c r="C105" s="39" t="s">
        <v>61</v>
      </c>
      <c r="D105" s="41" t="s">
        <v>24</v>
      </c>
      <c r="E105" s="12">
        <v>100</v>
      </c>
      <c r="F105" s="12">
        <v>0</v>
      </c>
      <c r="G105" s="28"/>
      <c r="H105" s="74"/>
    </row>
    <row r="106" spans="1:8" s="26" customFormat="1" ht="37.5" customHeight="1" x14ac:dyDescent="0.3">
      <c r="A106" s="60"/>
      <c r="B106" s="63"/>
      <c r="C106" s="39" t="s">
        <v>74</v>
      </c>
      <c r="D106" s="41" t="s">
        <v>24</v>
      </c>
      <c r="E106" s="12">
        <v>100</v>
      </c>
      <c r="F106" s="12">
        <v>0</v>
      </c>
      <c r="G106" s="28"/>
      <c r="H106" s="63"/>
    </row>
    <row r="107" spans="1:8" s="26" customFormat="1" ht="30" customHeight="1" x14ac:dyDescent="0.3">
      <c r="A107" s="61" t="s">
        <v>223</v>
      </c>
      <c r="B107" s="41" t="s">
        <v>6</v>
      </c>
      <c r="C107" s="39" t="s">
        <v>30</v>
      </c>
      <c r="D107" s="41" t="s">
        <v>31</v>
      </c>
      <c r="E107" s="12">
        <v>178000</v>
      </c>
      <c r="F107" s="12">
        <v>0</v>
      </c>
      <c r="G107" s="28">
        <f>F107/E107</f>
        <v>0</v>
      </c>
      <c r="H107" s="62" t="s">
        <v>271</v>
      </c>
    </row>
    <row r="108" spans="1:8" s="26" customFormat="1" ht="20.399999999999999" customHeight="1" x14ac:dyDescent="0.3">
      <c r="A108" s="61"/>
      <c r="B108" s="41" t="s">
        <v>4</v>
      </c>
      <c r="C108" s="39" t="s">
        <v>69</v>
      </c>
      <c r="D108" s="41" t="s">
        <v>33</v>
      </c>
      <c r="E108" s="14">
        <v>1</v>
      </c>
      <c r="F108" s="12">
        <v>0</v>
      </c>
      <c r="G108" s="28"/>
      <c r="H108" s="74"/>
    </row>
    <row r="109" spans="1:8" s="26" customFormat="1" ht="28.2" customHeight="1" x14ac:dyDescent="0.3">
      <c r="A109" s="61"/>
      <c r="B109" s="41" t="s">
        <v>7</v>
      </c>
      <c r="C109" s="39" t="s">
        <v>71</v>
      </c>
      <c r="D109" s="41" t="s">
        <v>31</v>
      </c>
      <c r="E109" s="12">
        <f>E107/E108</f>
        <v>178000</v>
      </c>
      <c r="F109" s="12">
        <v>0</v>
      </c>
      <c r="G109" s="28"/>
      <c r="H109" s="74"/>
    </row>
    <row r="110" spans="1:8" s="26" customFormat="1" ht="37.5" customHeight="1" x14ac:dyDescent="0.3">
      <c r="A110" s="61"/>
      <c r="B110" s="41" t="s">
        <v>5</v>
      </c>
      <c r="C110" s="39" t="s">
        <v>73</v>
      </c>
      <c r="D110" s="41" t="s">
        <v>24</v>
      </c>
      <c r="E110" s="12">
        <v>100</v>
      </c>
      <c r="F110" s="12">
        <v>0</v>
      </c>
      <c r="G110" s="28"/>
      <c r="H110" s="63"/>
    </row>
    <row r="111" spans="1:8" s="26" customFormat="1" x14ac:dyDescent="0.3">
      <c r="A111" s="58" t="s">
        <v>75</v>
      </c>
      <c r="B111" s="62" t="s">
        <v>6</v>
      </c>
      <c r="C111" s="39" t="s">
        <v>30</v>
      </c>
      <c r="D111" s="41" t="s">
        <v>31</v>
      </c>
      <c r="E111" s="12">
        <f>7200000+8000000</f>
        <v>15200000</v>
      </c>
      <c r="F111" s="12">
        <f>6722092.02+3830034.2</f>
        <v>10552126.219999999</v>
      </c>
      <c r="G111" s="28">
        <f t="shared" ref="G111:G158" si="2">F111/E111</f>
        <v>0.69421883026315778</v>
      </c>
      <c r="H111" s="40"/>
    </row>
    <row r="112" spans="1:8" s="26" customFormat="1" ht="33" customHeight="1" x14ac:dyDescent="0.3">
      <c r="A112" s="59"/>
      <c r="B112" s="74"/>
      <c r="C112" s="39" t="s">
        <v>76</v>
      </c>
      <c r="D112" s="41" t="s">
        <v>49</v>
      </c>
      <c r="E112" s="12">
        <v>3169.09</v>
      </c>
      <c r="F112" s="12">
        <v>3169.09</v>
      </c>
      <c r="G112" s="28"/>
      <c r="H112" s="40"/>
    </row>
    <row r="113" spans="1:8" s="26" customFormat="1" ht="15" customHeight="1" x14ac:dyDescent="0.3">
      <c r="A113" s="59"/>
      <c r="B113" s="63"/>
      <c r="C113" s="39" t="s">
        <v>68</v>
      </c>
      <c r="D113" s="41" t="s">
        <v>49</v>
      </c>
      <c r="E113" s="12">
        <v>660.41</v>
      </c>
      <c r="F113" s="12">
        <v>660.41</v>
      </c>
      <c r="G113" s="28"/>
      <c r="H113" s="40"/>
    </row>
    <row r="114" spans="1:8" s="26" customFormat="1" ht="39" customHeight="1" x14ac:dyDescent="0.3">
      <c r="A114" s="59"/>
      <c r="B114" s="62" t="s">
        <v>4</v>
      </c>
      <c r="C114" s="39" t="s">
        <v>77</v>
      </c>
      <c r="D114" s="41" t="s">
        <v>49</v>
      </c>
      <c r="E114" s="12">
        <v>3169.09</v>
      </c>
      <c r="F114" s="12">
        <f>1086+227</f>
        <v>1313</v>
      </c>
      <c r="G114" s="28"/>
      <c r="H114" s="40"/>
    </row>
    <row r="115" spans="1:8" s="26" customFormat="1" ht="26.4" x14ac:dyDescent="0.3">
      <c r="A115" s="59"/>
      <c r="B115" s="63"/>
      <c r="C115" s="39" t="s">
        <v>70</v>
      </c>
      <c r="D115" s="41" t="s">
        <v>49</v>
      </c>
      <c r="E115" s="12">
        <v>640.41</v>
      </c>
      <c r="F115" s="12">
        <v>0</v>
      </c>
      <c r="G115" s="28"/>
      <c r="H115" s="40"/>
    </row>
    <row r="116" spans="1:8" s="26" customFormat="1" ht="26.4" x14ac:dyDescent="0.3">
      <c r="A116" s="59"/>
      <c r="B116" s="62" t="s">
        <v>7</v>
      </c>
      <c r="C116" s="39" t="s">
        <v>71</v>
      </c>
      <c r="D116" s="41" t="s">
        <v>78</v>
      </c>
      <c r="E116" s="12">
        <v>200000</v>
      </c>
      <c r="F116" s="12">
        <v>253240.66</v>
      </c>
      <c r="G116" s="28"/>
      <c r="H116" s="40"/>
    </row>
    <row r="117" spans="1:8" s="26" customFormat="1" ht="26.4" x14ac:dyDescent="0.3">
      <c r="A117" s="59"/>
      <c r="B117" s="74"/>
      <c r="C117" s="39" t="s">
        <v>79</v>
      </c>
      <c r="D117" s="41" t="s">
        <v>53</v>
      </c>
      <c r="E117" s="12">
        <f>(E111-E116-E118*E115)/E114</f>
        <v>3318.6592996727768</v>
      </c>
      <c r="F117" s="12">
        <f>(F111-F116)/F114</f>
        <v>7843.7818431073865</v>
      </c>
      <c r="G117" s="28"/>
      <c r="H117" s="40"/>
    </row>
    <row r="118" spans="1:8" s="26" customFormat="1" ht="33.75" customHeight="1" x14ac:dyDescent="0.3">
      <c r="A118" s="59"/>
      <c r="B118" s="63"/>
      <c r="C118" s="39" t="s">
        <v>72</v>
      </c>
      <c r="D118" s="41" t="s">
        <v>53</v>
      </c>
      <c r="E118" s="12">
        <v>7000</v>
      </c>
      <c r="F118" s="12">
        <v>0</v>
      </c>
      <c r="G118" s="28"/>
      <c r="H118" s="40"/>
    </row>
    <row r="119" spans="1:8" s="26" customFormat="1" ht="30" customHeight="1" x14ac:dyDescent="0.3">
      <c r="A119" s="59"/>
      <c r="B119" s="62" t="s">
        <v>5</v>
      </c>
      <c r="C119" s="39" t="s">
        <v>80</v>
      </c>
      <c r="D119" s="41" t="s">
        <v>24</v>
      </c>
      <c r="E119" s="12">
        <v>100</v>
      </c>
      <c r="F119" s="28">
        <f>F114/F112</f>
        <v>0.41431451930995961</v>
      </c>
      <c r="G119" s="28"/>
      <c r="H119" s="40"/>
    </row>
    <row r="120" spans="1:8" s="26" customFormat="1" ht="26.4" x14ac:dyDescent="0.3">
      <c r="A120" s="60"/>
      <c r="B120" s="63"/>
      <c r="C120" s="39" t="s">
        <v>81</v>
      </c>
      <c r="D120" s="41" t="s">
        <v>24</v>
      </c>
      <c r="E120" s="12">
        <v>100</v>
      </c>
      <c r="F120" s="12">
        <v>0</v>
      </c>
      <c r="G120" s="28"/>
      <c r="H120" s="40"/>
    </row>
    <row r="121" spans="1:8" s="26" customFormat="1" x14ac:dyDescent="0.3">
      <c r="A121" s="58" t="s">
        <v>265</v>
      </c>
      <c r="B121" s="62" t="s">
        <v>6</v>
      </c>
      <c r="C121" s="39" t="s">
        <v>30</v>
      </c>
      <c r="D121" s="41" t="s">
        <v>31</v>
      </c>
      <c r="E121" s="12">
        <v>77234074</v>
      </c>
      <c r="F121" s="12">
        <f>2503042.67+69500768.92</f>
        <v>72003811.590000004</v>
      </c>
      <c r="G121" s="28">
        <f t="shared" si="2"/>
        <v>0.93228037653432605</v>
      </c>
      <c r="H121" s="40"/>
    </row>
    <row r="122" spans="1:8" s="26" customFormat="1" x14ac:dyDescent="0.3">
      <c r="A122" s="59"/>
      <c r="B122" s="74"/>
      <c r="C122" s="39" t="s">
        <v>58</v>
      </c>
      <c r="D122" s="41" t="s">
        <v>49</v>
      </c>
      <c r="E122" s="12">
        <v>1773</v>
      </c>
      <c r="F122" s="12">
        <v>1773</v>
      </c>
      <c r="G122" s="28"/>
      <c r="H122" s="40"/>
    </row>
    <row r="123" spans="1:8" s="26" customFormat="1" x14ac:dyDescent="0.3">
      <c r="A123" s="59"/>
      <c r="B123" s="74"/>
      <c r="C123" s="39" t="s">
        <v>64</v>
      </c>
      <c r="D123" s="41" t="s">
        <v>49</v>
      </c>
      <c r="E123" s="12">
        <v>3067.98</v>
      </c>
      <c r="F123" s="12">
        <v>3067.98</v>
      </c>
      <c r="G123" s="28"/>
      <c r="H123" s="40"/>
    </row>
    <row r="124" spans="1:8" s="26" customFormat="1" x14ac:dyDescent="0.3">
      <c r="A124" s="59"/>
      <c r="B124" s="74"/>
      <c r="C124" s="39" t="s">
        <v>82</v>
      </c>
      <c r="D124" s="41" t="s">
        <v>49</v>
      </c>
      <c r="E124" s="12">
        <v>202.95</v>
      </c>
      <c r="F124" s="12">
        <v>202.95</v>
      </c>
      <c r="G124" s="28"/>
      <c r="H124" s="40"/>
    </row>
    <row r="125" spans="1:8" s="26" customFormat="1" ht="15" customHeight="1" x14ac:dyDescent="0.3">
      <c r="A125" s="59"/>
      <c r="B125" s="63"/>
      <c r="C125" s="39" t="s">
        <v>68</v>
      </c>
      <c r="D125" s="41" t="s">
        <v>49</v>
      </c>
      <c r="E125" s="12">
        <v>1079.32</v>
      </c>
      <c r="F125" s="12">
        <v>1079.32</v>
      </c>
      <c r="G125" s="28"/>
      <c r="H125" s="40"/>
    </row>
    <row r="126" spans="1:8" s="26" customFormat="1" ht="15" customHeight="1" x14ac:dyDescent="0.3">
      <c r="A126" s="59"/>
      <c r="B126" s="62" t="s">
        <v>4</v>
      </c>
      <c r="C126" s="39" t="s">
        <v>83</v>
      </c>
      <c r="D126" s="41" t="s">
        <v>49</v>
      </c>
      <c r="E126" s="12">
        <v>5044.53</v>
      </c>
      <c r="F126" s="12">
        <v>5044.53</v>
      </c>
      <c r="G126" s="28"/>
      <c r="H126" s="40"/>
    </row>
    <row r="127" spans="1:8" s="26" customFormat="1" ht="26.4" x14ac:dyDescent="0.3">
      <c r="A127" s="59"/>
      <c r="B127" s="63"/>
      <c r="C127" s="39" t="s">
        <v>70</v>
      </c>
      <c r="D127" s="41" t="s">
        <v>49</v>
      </c>
      <c r="E127" s="12">
        <v>1079.32</v>
      </c>
      <c r="F127" s="12">
        <v>1079.32</v>
      </c>
      <c r="G127" s="28"/>
      <c r="H127" s="40"/>
    </row>
    <row r="128" spans="1:8" s="26" customFormat="1" ht="28.5" customHeight="1" x14ac:dyDescent="0.3">
      <c r="A128" s="59"/>
      <c r="B128" s="62" t="s">
        <v>7</v>
      </c>
      <c r="C128" s="39" t="s">
        <v>79</v>
      </c>
      <c r="D128" s="41" t="s">
        <v>53</v>
      </c>
      <c r="E128" s="12">
        <f>(E121-E129*E125)/E126</f>
        <v>13812.750444540919</v>
      </c>
      <c r="F128" s="12">
        <f>(F121-F129*F125)/F126</f>
        <v>12775.931868776675</v>
      </c>
      <c r="G128" s="28"/>
      <c r="H128" s="40"/>
    </row>
    <row r="129" spans="1:8" s="26" customFormat="1" ht="29.25" customHeight="1" x14ac:dyDescent="0.3">
      <c r="A129" s="59"/>
      <c r="B129" s="63"/>
      <c r="C129" s="39" t="s">
        <v>72</v>
      </c>
      <c r="D129" s="41" t="s">
        <v>53</v>
      </c>
      <c r="E129" s="12">
        <v>7000</v>
      </c>
      <c r="F129" s="12">
        <v>7000</v>
      </c>
      <c r="G129" s="28"/>
      <c r="H129" s="40"/>
    </row>
    <row r="130" spans="1:8" s="26" customFormat="1" ht="26.4" x14ac:dyDescent="0.3">
      <c r="A130" s="59"/>
      <c r="B130" s="62" t="s">
        <v>5</v>
      </c>
      <c r="C130" s="39" t="s">
        <v>84</v>
      </c>
      <c r="D130" s="41" t="s">
        <v>24</v>
      </c>
      <c r="E130" s="12">
        <v>100</v>
      </c>
      <c r="F130" s="12">
        <v>100</v>
      </c>
      <c r="G130" s="28"/>
      <c r="H130" s="40"/>
    </row>
    <row r="131" spans="1:8" s="26" customFormat="1" ht="31.5" customHeight="1" x14ac:dyDescent="0.3">
      <c r="A131" s="60"/>
      <c r="B131" s="63"/>
      <c r="C131" s="39" t="s">
        <v>84</v>
      </c>
      <c r="D131" s="41" t="s">
        <v>24</v>
      </c>
      <c r="E131" s="12">
        <v>100</v>
      </c>
      <c r="F131" s="12">
        <v>100</v>
      </c>
      <c r="G131" s="28"/>
      <c r="H131" s="40"/>
    </row>
    <row r="132" spans="1:8" s="26" customFormat="1" ht="16.8" customHeight="1" x14ac:dyDescent="0.3">
      <c r="A132" s="61" t="s">
        <v>224</v>
      </c>
      <c r="B132" s="62" t="s">
        <v>6</v>
      </c>
      <c r="C132" s="39" t="s">
        <v>30</v>
      </c>
      <c r="D132" s="41" t="s">
        <v>31</v>
      </c>
      <c r="E132" s="12">
        <v>7000000</v>
      </c>
      <c r="F132" s="12">
        <f>6875983.37</f>
        <v>6875983.3700000001</v>
      </c>
      <c r="G132" s="28">
        <f>F132/E132</f>
        <v>0.98228333857142858</v>
      </c>
      <c r="H132" s="44"/>
    </row>
    <row r="133" spans="1:8" s="26" customFormat="1" ht="18.600000000000001" customHeight="1" x14ac:dyDescent="0.3">
      <c r="A133" s="61"/>
      <c r="B133" s="63"/>
      <c r="C133" s="39" t="s">
        <v>58</v>
      </c>
      <c r="D133" s="41" t="s">
        <v>49</v>
      </c>
      <c r="E133" s="12">
        <v>1455</v>
      </c>
      <c r="F133" s="12">
        <v>1455</v>
      </c>
      <c r="G133" s="28"/>
      <c r="H133" s="44"/>
    </row>
    <row r="134" spans="1:8" s="26" customFormat="1" ht="24.6" customHeight="1" x14ac:dyDescent="0.3">
      <c r="A134" s="61"/>
      <c r="B134" s="41" t="s">
        <v>4</v>
      </c>
      <c r="C134" s="39" t="s">
        <v>59</v>
      </c>
      <c r="D134" s="41" t="s">
        <v>49</v>
      </c>
      <c r="E134" s="12">
        <v>1455.3</v>
      </c>
      <c r="F134" s="12">
        <v>1455</v>
      </c>
      <c r="G134" s="28"/>
      <c r="H134" s="44"/>
    </row>
    <row r="135" spans="1:8" s="26" customFormat="1" ht="18.600000000000001" customHeight="1" x14ac:dyDescent="0.3">
      <c r="A135" s="61"/>
      <c r="B135" s="41" t="s">
        <v>7</v>
      </c>
      <c r="C135" s="39" t="s">
        <v>60</v>
      </c>
      <c r="D135" s="41" t="s">
        <v>53</v>
      </c>
      <c r="E135" s="12">
        <f>E132/E134</f>
        <v>4810.0048100048098</v>
      </c>
      <c r="F135" s="12">
        <f>F132/F134</f>
        <v>4725.7617663230239</v>
      </c>
      <c r="G135" s="28"/>
      <c r="H135" s="44"/>
    </row>
    <row r="136" spans="1:8" s="26" customFormat="1" ht="31.5" customHeight="1" x14ac:dyDescent="0.3">
      <c r="A136" s="61"/>
      <c r="B136" s="41" t="s">
        <v>5</v>
      </c>
      <c r="C136" s="39" t="s">
        <v>61</v>
      </c>
      <c r="D136" s="41" t="s">
        <v>24</v>
      </c>
      <c r="E136" s="12">
        <v>100</v>
      </c>
      <c r="F136" s="12">
        <v>100</v>
      </c>
      <c r="G136" s="28"/>
      <c r="H136" s="44"/>
    </row>
    <row r="137" spans="1:8" s="26" customFormat="1" ht="15" customHeight="1" x14ac:dyDescent="0.3">
      <c r="A137" s="58" t="s">
        <v>85</v>
      </c>
      <c r="B137" s="62" t="s">
        <v>6</v>
      </c>
      <c r="C137" s="39" t="s">
        <v>30</v>
      </c>
      <c r="D137" s="41" t="s">
        <v>31</v>
      </c>
      <c r="E137" s="12">
        <f>5000000+5000000</f>
        <v>10000000</v>
      </c>
      <c r="F137" s="12">
        <f>86408</f>
        <v>86408</v>
      </c>
      <c r="G137" s="28">
        <f t="shared" si="2"/>
        <v>8.6408000000000006E-3</v>
      </c>
      <c r="H137" s="62" t="s">
        <v>86</v>
      </c>
    </row>
    <row r="138" spans="1:8" s="26" customFormat="1" x14ac:dyDescent="0.3">
      <c r="A138" s="59"/>
      <c r="B138" s="63"/>
      <c r="C138" s="39" t="s">
        <v>58</v>
      </c>
      <c r="D138" s="41" t="s">
        <v>49</v>
      </c>
      <c r="E138" s="12">
        <v>1233.9000000000001</v>
      </c>
      <c r="F138" s="12">
        <v>1233.9000000000001</v>
      </c>
      <c r="G138" s="28"/>
      <c r="H138" s="74"/>
    </row>
    <row r="139" spans="1:8" s="26" customFormat="1" ht="26.4" x14ac:dyDescent="0.3">
      <c r="A139" s="59"/>
      <c r="B139" s="62" t="s">
        <v>4</v>
      </c>
      <c r="C139" s="39" t="s">
        <v>59</v>
      </c>
      <c r="D139" s="41" t="s">
        <v>49</v>
      </c>
      <c r="E139" s="12">
        <v>1233.9000000000001</v>
      </c>
      <c r="F139" s="12">
        <v>0</v>
      </c>
      <c r="G139" s="28"/>
      <c r="H139" s="74"/>
    </row>
    <row r="140" spans="1:8" s="26" customFormat="1" ht="21" customHeight="1" x14ac:dyDescent="0.3">
      <c r="A140" s="59"/>
      <c r="B140" s="63"/>
      <c r="C140" s="39" t="s">
        <v>69</v>
      </c>
      <c r="D140" s="41" t="s">
        <v>33</v>
      </c>
      <c r="E140" s="14">
        <v>1</v>
      </c>
      <c r="F140" s="14">
        <v>1</v>
      </c>
      <c r="G140" s="28"/>
      <c r="H140" s="74"/>
    </row>
    <row r="141" spans="1:8" s="26" customFormat="1" x14ac:dyDescent="0.3">
      <c r="A141" s="59"/>
      <c r="B141" s="62" t="s">
        <v>7</v>
      </c>
      <c r="C141" s="39" t="s">
        <v>60</v>
      </c>
      <c r="D141" s="41" t="s">
        <v>53</v>
      </c>
      <c r="E141" s="12">
        <f>(E137-E142)/E139</f>
        <v>8034.3561066536995</v>
      </c>
      <c r="F141" s="12">
        <v>0</v>
      </c>
      <c r="G141" s="28"/>
      <c r="H141" s="74"/>
    </row>
    <row r="142" spans="1:8" s="26" customFormat="1" ht="35.4" customHeight="1" x14ac:dyDescent="0.3">
      <c r="A142" s="59"/>
      <c r="B142" s="63"/>
      <c r="C142" s="39" t="s">
        <v>71</v>
      </c>
      <c r="D142" s="41" t="s">
        <v>31</v>
      </c>
      <c r="E142" s="12">
        <v>86408</v>
      </c>
      <c r="F142" s="12">
        <v>86408</v>
      </c>
      <c r="G142" s="28"/>
      <c r="H142" s="74"/>
    </row>
    <row r="143" spans="1:8" s="26" customFormat="1" ht="29.25" customHeight="1" x14ac:dyDescent="0.3">
      <c r="A143" s="59"/>
      <c r="B143" s="62" t="s">
        <v>5</v>
      </c>
      <c r="C143" s="39" t="s">
        <v>61</v>
      </c>
      <c r="D143" s="41" t="s">
        <v>24</v>
      </c>
      <c r="E143" s="12">
        <v>100</v>
      </c>
      <c r="F143" s="12">
        <v>0</v>
      </c>
      <c r="G143" s="28"/>
      <c r="H143" s="74"/>
    </row>
    <row r="144" spans="1:8" s="26" customFormat="1" ht="34.5" customHeight="1" x14ac:dyDescent="0.3">
      <c r="A144" s="60"/>
      <c r="B144" s="63"/>
      <c r="C144" s="39" t="s">
        <v>73</v>
      </c>
      <c r="D144" s="41" t="s">
        <v>24</v>
      </c>
      <c r="E144" s="12">
        <v>100</v>
      </c>
      <c r="F144" s="12">
        <v>100</v>
      </c>
      <c r="G144" s="28"/>
      <c r="H144" s="63"/>
    </row>
    <row r="145" spans="1:8" s="26" customFormat="1" ht="15" customHeight="1" x14ac:dyDescent="0.3">
      <c r="A145" s="58" t="s">
        <v>87</v>
      </c>
      <c r="B145" s="62" t="s">
        <v>6</v>
      </c>
      <c r="C145" s="39" t="s">
        <v>30</v>
      </c>
      <c r="D145" s="41" t="s">
        <v>31</v>
      </c>
      <c r="E145" s="12">
        <f>750000+6942789</f>
        <v>7692789</v>
      </c>
      <c r="F145" s="12">
        <f>340211.18</f>
        <v>340211.18</v>
      </c>
      <c r="G145" s="28">
        <f t="shared" si="2"/>
        <v>4.4224686261380625E-2</v>
      </c>
      <c r="H145" s="62" t="s">
        <v>86</v>
      </c>
    </row>
    <row r="146" spans="1:8" s="26" customFormat="1" ht="15" customHeight="1" x14ac:dyDescent="0.3">
      <c r="A146" s="59"/>
      <c r="B146" s="63"/>
      <c r="C146" s="39" t="s">
        <v>58</v>
      </c>
      <c r="D146" s="41" t="s">
        <v>49</v>
      </c>
      <c r="E146" s="12">
        <v>1468.5</v>
      </c>
      <c r="F146" s="12">
        <v>1468.5</v>
      </c>
      <c r="G146" s="28"/>
      <c r="H146" s="74"/>
    </row>
    <row r="147" spans="1:8" s="26" customFormat="1" ht="36.6" customHeight="1" x14ac:dyDescent="0.3">
      <c r="A147" s="59"/>
      <c r="B147" s="62" t="s">
        <v>4</v>
      </c>
      <c r="C147" s="39" t="s">
        <v>59</v>
      </c>
      <c r="D147" s="41" t="s">
        <v>49</v>
      </c>
      <c r="E147" s="12">
        <v>1468.5</v>
      </c>
      <c r="F147" s="12">
        <v>0</v>
      </c>
      <c r="G147" s="28"/>
      <c r="H147" s="74"/>
    </row>
    <row r="148" spans="1:8" s="26" customFormat="1" ht="18" customHeight="1" x14ac:dyDescent="0.3">
      <c r="A148" s="59"/>
      <c r="B148" s="63"/>
      <c r="C148" s="39" t="s">
        <v>69</v>
      </c>
      <c r="D148" s="41" t="s">
        <v>33</v>
      </c>
      <c r="E148" s="41">
        <v>1</v>
      </c>
      <c r="F148" s="41">
        <v>1</v>
      </c>
      <c r="G148" s="28"/>
      <c r="H148" s="74"/>
    </row>
    <row r="149" spans="1:8" s="26" customFormat="1" ht="30" customHeight="1" x14ac:dyDescent="0.3">
      <c r="A149" s="59"/>
      <c r="B149" s="62" t="s">
        <v>7</v>
      </c>
      <c r="C149" s="39" t="s">
        <v>60</v>
      </c>
      <c r="D149" s="41" t="s">
        <v>53</v>
      </c>
      <c r="E149" s="12">
        <f>(E145-E150)/E147</f>
        <v>5187.4736261491316</v>
      </c>
      <c r="F149" s="12">
        <v>0</v>
      </c>
      <c r="G149" s="28"/>
      <c r="H149" s="74"/>
    </row>
    <row r="150" spans="1:8" s="26" customFormat="1" ht="29.25" customHeight="1" x14ac:dyDescent="0.3">
      <c r="A150" s="59"/>
      <c r="B150" s="63"/>
      <c r="C150" s="39" t="s">
        <v>88</v>
      </c>
      <c r="D150" s="41" t="s">
        <v>31</v>
      </c>
      <c r="E150" s="12">
        <v>74983.98</v>
      </c>
      <c r="F150" s="12">
        <v>74983.98</v>
      </c>
      <c r="G150" s="28"/>
      <c r="H150" s="74"/>
    </row>
    <row r="151" spans="1:8" s="26" customFormat="1" ht="30" customHeight="1" x14ac:dyDescent="0.3">
      <c r="A151" s="59"/>
      <c r="B151" s="62" t="s">
        <v>5</v>
      </c>
      <c r="C151" s="39" t="s">
        <v>61</v>
      </c>
      <c r="D151" s="41" t="s">
        <v>24</v>
      </c>
      <c r="E151" s="12">
        <v>100</v>
      </c>
      <c r="F151" s="12">
        <v>0</v>
      </c>
      <c r="G151" s="28"/>
      <c r="H151" s="74"/>
    </row>
    <row r="152" spans="1:8" s="26" customFormat="1" ht="32.25" customHeight="1" x14ac:dyDescent="0.3">
      <c r="A152" s="60"/>
      <c r="B152" s="63"/>
      <c r="C152" s="39" t="s">
        <v>73</v>
      </c>
      <c r="D152" s="41" t="s">
        <v>24</v>
      </c>
      <c r="E152" s="12">
        <v>100</v>
      </c>
      <c r="F152" s="12">
        <v>100</v>
      </c>
      <c r="G152" s="28"/>
      <c r="H152" s="63"/>
    </row>
    <row r="153" spans="1:8" s="26" customFormat="1" x14ac:dyDescent="0.3">
      <c r="A153" s="76" t="s">
        <v>89</v>
      </c>
      <c r="B153" s="62" t="s">
        <v>6</v>
      </c>
      <c r="C153" s="39" t="s">
        <v>30</v>
      </c>
      <c r="D153" s="41" t="s">
        <v>31</v>
      </c>
      <c r="E153" s="12">
        <f>7000000+4284092</f>
        <v>11284092</v>
      </c>
      <c r="F153" s="12">
        <f>3146694.71+2869047.01</f>
        <v>6015741.7199999997</v>
      </c>
      <c r="G153" s="28">
        <f t="shared" si="2"/>
        <v>0.53311703945696298</v>
      </c>
      <c r="H153" s="40"/>
    </row>
    <row r="154" spans="1:8" s="26" customFormat="1" ht="21" customHeight="1" x14ac:dyDescent="0.3">
      <c r="A154" s="76"/>
      <c r="B154" s="63"/>
      <c r="C154" s="39" t="s">
        <v>58</v>
      </c>
      <c r="D154" s="41" t="s">
        <v>49</v>
      </c>
      <c r="E154" s="12">
        <v>1320</v>
      </c>
      <c r="F154" s="12">
        <v>1320</v>
      </c>
      <c r="G154" s="28"/>
      <c r="H154" s="40"/>
    </row>
    <row r="155" spans="1:8" s="26" customFormat="1" ht="31.2" customHeight="1" x14ac:dyDescent="0.3">
      <c r="A155" s="76"/>
      <c r="B155" s="41" t="s">
        <v>4</v>
      </c>
      <c r="C155" s="39" t="s">
        <v>59</v>
      </c>
      <c r="D155" s="41" t="s">
        <v>49</v>
      </c>
      <c r="E155" s="12">
        <f>782+538</f>
        <v>1320</v>
      </c>
      <c r="F155" s="12">
        <v>1320</v>
      </c>
      <c r="G155" s="28"/>
      <c r="H155" s="40"/>
    </row>
    <row r="156" spans="1:8" s="26" customFormat="1" ht="31.2" customHeight="1" x14ac:dyDescent="0.3">
      <c r="A156" s="76"/>
      <c r="B156" s="41" t="s">
        <v>7</v>
      </c>
      <c r="C156" s="39" t="s">
        <v>60</v>
      </c>
      <c r="D156" s="41" t="s">
        <v>53</v>
      </c>
      <c r="E156" s="12">
        <f>E153/E155</f>
        <v>8548.5545454545463</v>
      </c>
      <c r="F156" s="12">
        <f>F153/F155</f>
        <v>4557.3800909090905</v>
      </c>
      <c r="G156" s="28"/>
      <c r="H156" s="40"/>
    </row>
    <row r="157" spans="1:8" s="26" customFormat="1" ht="30" customHeight="1" x14ac:dyDescent="0.3">
      <c r="A157" s="76"/>
      <c r="B157" s="41" t="s">
        <v>5</v>
      </c>
      <c r="C157" s="39" t="s">
        <v>61</v>
      </c>
      <c r="D157" s="41" t="s">
        <v>24</v>
      </c>
      <c r="E157" s="12">
        <v>100</v>
      </c>
      <c r="F157" s="12">
        <v>100</v>
      </c>
      <c r="G157" s="28"/>
      <c r="H157" s="40"/>
    </row>
    <row r="158" spans="1:8" s="26" customFormat="1" x14ac:dyDescent="0.3">
      <c r="A158" s="76" t="s">
        <v>90</v>
      </c>
      <c r="B158" s="62" t="s">
        <v>6</v>
      </c>
      <c r="C158" s="39" t="s">
        <v>30</v>
      </c>
      <c r="D158" s="41" t="s">
        <v>31</v>
      </c>
      <c r="E158" s="12">
        <f>199500+10000000</f>
        <v>10199500</v>
      </c>
      <c r="F158" s="12">
        <f>196881</f>
        <v>196881</v>
      </c>
      <c r="G158" s="28">
        <f t="shared" si="2"/>
        <v>1.930300504926712E-2</v>
      </c>
      <c r="H158" s="62" t="s">
        <v>86</v>
      </c>
    </row>
    <row r="159" spans="1:8" s="26" customFormat="1" ht="24.6" customHeight="1" x14ac:dyDescent="0.3">
      <c r="A159" s="76"/>
      <c r="B159" s="63"/>
      <c r="C159" s="39" t="s">
        <v>58</v>
      </c>
      <c r="D159" s="41" t="s">
        <v>49</v>
      </c>
      <c r="E159" s="12">
        <v>3140</v>
      </c>
      <c r="F159" s="12">
        <v>3140</v>
      </c>
      <c r="G159" s="28"/>
      <c r="H159" s="74"/>
    </row>
    <row r="160" spans="1:8" s="26" customFormat="1" ht="18.75" customHeight="1" x14ac:dyDescent="0.3">
      <c r="A160" s="76"/>
      <c r="B160" s="62" t="s">
        <v>4</v>
      </c>
      <c r="C160" s="39" t="s">
        <v>69</v>
      </c>
      <c r="D160" s="41" t="s">
        <v>33</v>
      </c>
      <c r="E160" s="14">
        <v>1</v>
      </c>
      <c r="F160" s="14">
        <v>1</v>
      </c>
      <c r="G160" s="28"/>
      <c r="H160" s="74"/>
    </row>
    <row r="161" spans="1:8" s="26" customFormat="1" ht="34.200000000000003" customHeight="1" x14ac:dyDescent="0.3">
      <c r="A161" s="76"/>
      <c r="B161" s="63"/>
      <c r="C161" s="39" t="s">
        <v>59</v>
      </c>
      <c r="D161" s="41" t="s">
        <v>49</v>
      </c>
      <c r="E161" s="12">
        <v>1047</v>
      </c>
      <c r="F161" s="12">
        <v>0</v>
      </c>
      <c r="G161" s="28"/>
      <c r="H161" s="74"/>
    </row>
    <row r="162" spans="1:8" s="26" customFormat="1" ht="31.2" customHeight="1" x14ac:dyDescent="0.3">
      <c r="A162" s="76"/>
      <c r="B162" s="62" t="s">
        <v>7</v>
      </c>
      <c r="C162" s="39" t="s">
        <v>71</v>
      </c>
      <c r="D162" s="41" t="s">
        <v>31</v>
      </c>
      <c r="E162" s="12">
        <v>199500</v>
      </c>
      <c r="F162" s="12">
        <v>196881</v>
      </c>
      <c r="G162" s="28"/>
      <c r="H162" s="74"/>
    </row>
    <row r="163" spans="1:8" s="26" customFormat="1" ht="21" customHeight="1" x14ac:dyDescent="0.3">
      <c r="A163" s="76"/>
      <c r="B163" s="63"/>
      <c r="C163" s="39" t="s">
        <v>60</v>
      </c>
      <c r="D163" s="41" t="s">
        <v>53</v>
      </c>
      <c r="E163" s="12">
        <f>(E158-E162)/E161</f>
        <v>9551.0983763132754</v>
      </c>
      <c r="F163" s="12">
        <v>0</v>
      </c>
      <c r="G163" s="28"/>
      <c r="H163" s="74"/>
    </row>
    <row r="164" spans="1:8" s="26" customFormat="1" ht="29.25" customHeight="1" x14ac:dyDescent="0.3">
      <c r="A164" s="76"/>
      <c r="B164" s="62" t="s">
        <v>5</v>
      </c>
      <c r="C164" s="39" t="s">
        <v>73</v>
      </c>
      <c r="D164" s="41" t="s">
        <v>24</v>
      </c>
      <c r="E164" s="12">
        <v>100</v>
      </c>
      <c r="F164" s="12">
        <v>100</v>
      </c>
      <c r="G164" s="28"/>
      <c r="H164" s="74"/>
    </row>
    <row r="165" spans="1:8" s="26" customFormat="1" ht="30" customHeight="1" x14ac:dyDescent="0.3">
      <c r="A165" s="76"/>
      <c r="B165" s="63"/>
      <c r="C165" s="39" t="s">
        <v>61</v>
      </c>
      <c r="D165" s="41" t="s">
        <v>24</v>
      </c>
      <c r="E165" s="12">
        <v>33.340000000000003</v>
      </c>
      <c r="F165" s="12">
        <v>0</v>
      </c>
      <c r="G165" s="28"/>
      <c r="H165" s="63"/>
    </row>
    <row r="166" spans="1:8" s="26" customFormat="1" ht="30" customHeight="1" x14ac:dyDescent="0.3">
      <c r="A166" s="61" t="s">
        <v>225</v>
      </c>
      <c r="B166" s="37" t="s">
        <v>6</v>
      </c>
      <c r="C166" s="39" t="s">
        <v>30</v>
      </c>
      <c r="D166" s="41" t="s">
        <v>31</v>
      </c>
      <c r="E166" s="12">
        <v>482000</v>
      </c>
      <c r="F166" s="12">
        <v>481747.37</v>
      </c>
      <c r="G166" s="28">
        <f>F166/E166</f>
        <v>0.99947587136929461</v>
      </c>
      <c r="H166" s="38"/>
    </row>
    <row r="167" spans="1:8" s="26" customFormat="1" ht="30" customHeight="1" x14ac:dyDescent="0.3">
      <c r="A167" s="61"/>
      <c r="B167" s="41" t="s">
        <v>4</v>
      </c>
      <c r="C167" s="39" t="s">
        <v>69</v>
      </c>
      <c r="D167" s="41" t="s">
        <v>33</v>
      </c>
      <c r="E167" s="14">
        <v>1</v>
      </c>
      <c r="F167" s="14">
        <v>1</v>
      </c>
      <c r="G167" s="28"/>
      <c r="H167" s="38"/>
    </row>
    <row r="168" spans="1:8" s="26" customFormat="1" ht="30" customHeight="1" x14ac:dyDescent="0.3">
      <c r="A168" s="61"/>
      <c r="B168" s="41" t="s">
        <v>7</v>
      </c>
      <c r="C168" s="39" t="s">
        <v>71</v>
      </c>
      <c r="D168" s="41" t="s">
        <v>31</v>
      </c>
      <c r="E168" s="12">
        <f>E166/E167</f>
        <v>482000</v>
      </c>
      <c r="F168" s="12">
        <f>F166</f>
        <v>481747.37</v>
      </c>
      <c r="G168" s="28"/>
      <c r="H168" s="38"/>
    </row>
    <row r="169" spans="1:8" s="26" customFormat="1" ht="30" customHeight="1" x14ac:dyDescent="0.3">
      <c r="A169" s="61"/>
      <c r="B169" s="41" t="s">
        <v>5</v>
      </c>
      <c r="C169" s="39" t="s">
        <v>73</v>
      </c>
      <c r="D169" s="41" t="s">
        <v>24</v>
      </c>
      <c r="E169" s="12">
        <v>100</v>
      </c>
      <c r="F169" s="12">
        <v>100</v>
      </c>
      <c r="G169" s="28"/>
      <c r="H169" s="38"/>
    </row>
    <row r="170" spans="1:8" s="26" customFormat="1" ht="15" customHeight="1" x14ac:dyDescent="0.3">
      <c r="A170" s="58" t="s">
        <v>91</v>
      </c>
      <c r="B170" s="62" t="s">
        <v>6</v>
      </c>
      <c r="C170" s="39" t="s">
        <v>30</v>
      </c>
      <c r="D170" s="41" t="s">
        <v>31</v>
      </c>
      <c r="E170" s="12">
        <v>14000000</v>
      </c>
      <c r="F170" s="12">
        <f>9739247.39</f>
        <v>9739247.3900000006</v>
      </c>
      <c r="G170" s="28">
        <f>F170/E170</f>
        <v>0.69566052785714294</v>
      </c>
      <c r="H170" s="40"/>
    </row>
    <row r="171" spans="1:8" s="26" customFormat="1" ht="19.2" customHeight="1" x14ac:dyDescent="0.3">
      <c r="A171" s="59"/>
      <c r="B171" s="63"/>
      <c r="C171" s="39" t="s">
        <v>58</v>
      </c>
      <c r="D171" s="41" t="s">
        <v>49</v>
      </c>
      <c r="E171" s="12">
        <v>1137.45</v>
      </c>
      <c r="F171" s="12">
        <v>1137.45</v>
      </c>
      <c r="G171" s="28"/>
      <c r="H171" s="40"/>
    </row>
    <row r="172" spans="1:8" s="26" customFormat="1" ht="33.6" customHeight="1" x14ac:dyDescent="0.3">
      <c r="A172" s="59"/>
      <c r="B172" s="41" t="s">
        <v>4</v>
      </c>
      <c r="C172" s="39" t="s">
        <v>59</v>
      </c>
      <c r="D172" s="41" t="s">
        <v>49</v>
      </c>
      <c r="E172" s="12">
        <v>1137.45</v>
      </c>
      <c r="F172" s="12">
        <v>1070.55</v>
      </c>
      <c r="G172" s="28"/>
      <c r="H172" s="40"/>
    </row>
    <row r="173" spans="1:8" s="26" customFormat="1" ht="29.4" customHeight="1" x14ac:dyDescent="0.3">
      <c r="A173" s="59"/>
      <c r="B173" s="41" t="s">
        <v>7</v>
      </c>
      <c r="C173" s="39" t="s">
        <v>60</v>
      </c>
      <c r="D173" s="41" t="s">
        <v>53</v>
      </c>
      <c r="E173" s="12">
        <f>E170/E172</f>
        <v>12308.233328937535</v>
      </c>
      <c r="F173" s="12">
        <f>F170/F172</f>
        <v>9097.4241184437924</v>
      </c>
      <c r="G173" s="28"/>
      <c r="H173" s="40"/>
    </row>
    <row r="174" spans="1:8" s="26" customFormat="1" ht="30.6" customHeight="1" x14ac:dyDescent="0.3">
      <c r="A174" s="60"/>
      <c r="B174" s="41" t="s">
        <v>5</v>
      </c>
      <c r="C174" s="39" t="s">
        <v>61</v>
      </c>
      <c r="D174" s="41" t="s">
        <v>24</v>
      </c>
      <c r="E174" s="12">
        <v>100</v>
      </c>
      <c r="F174" s="28">
        <f>F172/F171</f>
        <v>0.94118422787814837</v>
      </c>
      <c r="G174" s="28"/>
      <c r="H174" s="40"/>
    </row>
    <row r="175" spans="1:8" s="26" customFormat="1" ht="15" customHeight="1" x14ac:dyDescent="0.3">
      <c r="A175" s="58" t="s">
        <v>92</v>
      </c>
      <c r="B175" s="62" t="s">
        <v>6</v>
      </c>
      <c r="C175" s="39" t="s">
        <v>30</v>
      </c>
      <c r="D175" s="41" t="s">
        <v>31</v>
      </c>
      <c r="E175" s="12">
        <v>16833858</v>
      </c>
      <c r="F175" s="12">
        <f>12303150.94</f>
        <v>12303150.939999999</v>
      </c>
      <c r="G175" s="43">
        <f>F175/E175</f>
        <v>0.73085747426406944</v>
      </c>
      <c r="H175" s="40"/>
    </row>
    <row r="176" spans="1:8" s="26" customFormat="1" ht="20.399999999999999" customHeight="1" x14ac:dyDescent="0.3">
      <c r="A176" s="59"/>
      <c r="B176" s="63"/>
      <c r="C176" s="39" t="s">
        <v>58</v>
      </c>
      <c r="D176" s="41" t="s">
        <v>49</v>
      </c>
      <c r="E176" s="12">
        <v>1538.88</v>
      </c>
      <c r="F176" s="12">
        <v>1538.88</v>
      </c>
      <c r="G176" s="28"/>
      <c r="H176" s="40"/>
    </row>
    <row r="177" spans="1:8" s="26" customFormat="1" ht="26.4" x14ac:dyDescent="0.3">
      <c r="A177" s="59"/>
      <c r="B177" s="41" t="s">
        <v>4</v>
      </c>
      <c r="C177" s="39" t="s">
        <v>59</v>
      </c>
      <c r="D177" s="41" t="s">
        <v>49</v>
      </c>
      <c r="E177" s="12">
        <v>1538.88</v>
      </c>
      <c r="F177" s="12">
        <v>1538.88</v>
      </c>
      <c r="G177" s="28"/>
      <c r="H177" s="40"/>
    </row>
    <row r="178" spans="1:8" s="26" customFormat="1" ht="22.2" customHeight="1" x14ac:dyDescent="0.3">
      <c r="A178" s="59"/>
      <c r="B178" s="41" t="s">
        <v>7</v>
      </c>
      <c r="C178" s="39" t="s">
        <v>60</v>
      </c>
      <c r="D178" s="41" t="s">
        <v>53</v>
      </c>
      <c r="E178" s="12">
        <f>E175/E177</f>
        <v>10939.032283218963</v>
      </c>
      <c r="F178" s="12">
        <f>F175/F177</f>
        <v>7994.8735054065282</v>
      </c>
      <c r="G178" s="28"/>
      <c r="H178" s="40"/>
    </row>
    <row r="179" spans="1:8" s="26" customFormat="1" ht="33.6" customHeight="1" x14ac:dyDescent="0.3">
      <c r="A179" s="60"/>
      <c r="B179" s="41" t="s">
        <v>5</v>
      </c>
      <c r="C179" s="39" t="s">
        <v>61</v>
      </c>
      <c r="D179" s="41" t="s">
        <v>24</v>
      </c>
      <c r="E179" s="12">
        <v>100</v>
      </c>
      <c r="F179" s="12">
        <v>100</v>
      </c>
      <c r="G179" s="28"/>
      <c r="H179" s="40"/>
    </row>
    <row r="180" spans="1:8" s="26" customFormat="1" x14ac:dyDescent="0.3">
      <c r="A180" s="58" t="s">
        <v>93</v>
      </c>
      <c r="B180" s="37" t="s">
        <v>6</v>
      </c>
      <c r="C180" s="39" t="s">
        <v>30</v>
      </c>
      <c r="D180" s="41" t="s">
        <v>31</v>
      </c>
      <c r="E180" s="12">
        <v>300000</v>
      </c>
      <c r="F180" s="12">
        <v>299991.73</v>
      </c>
      <c r="G180" s="28">
        <f>F180/E180</f>
        <v>0.9999724333333333</v>
      </c>
      <c r="H180" s="40"/>
    </row>
    <row r="181" spans="1:8" s="26" customFormat="1" x14ac:dyDescent="0.3">
      <c r="A181" s="59"/>
      <c r="B181" s="41" t="s">
        <v>4</v>
      </c>
      <c r="C181" s="39" t="s">
        <v>69</v>
      </c>
      <c r="D181" s="41" t="s">
        <v>33</v>
      </c>
      <c r="E181" s="14">
        <v>1</v>
      </c>
      <c r="F181" s="15">
        <v>1</v>
      </c>
      <c r="G181" s="28"/>
      <c r="H181" s="40"/>
    </row>
    <row r="182" spans="1:8" s="26" customFormat="1" ht="26.4" x14ac:dyDescent="0.3">
      <c r="A182" s="59"/>
      <c r="B182" s="41" t="s">
        <v>7</v>
      </c>
      <c r="C182" s="39" t="s">
        <v>71</v>
      </c>
      <c r="D182" s="41" t="s">
        <v>31</v>
      </c>
      <c r="E182" s="12">
        <f>E180/E181</f>
        <v>300000</v>
      </c>
      <c r="F182" s="12">
        <f>F180</f>
        <v>299991.73</v>
      </c>
      <c r="G182" s="28"/>
      <c r="H182" s="40"/>
    </row>
    <row r="183" spans="1:8" s="26" customFormat="1" ht="29.25" customHeight="1" x14ac:dyDescent="0.3">
      <c r="A183" s="60"/>
      <c r="B183" s="41" t="s">
        <v>5</v>
      </c>
      <c r="C183" s="39" t="s">
        <v>73</v>
      </c>
      <c r="D183" s="41" t="s">
        <v>24</v>
      </c>
      <c r="E183" s="12">
        <v>100</v>
      </c>
      <c r="F183" s="12">
        <v>100</v>
      </c>
      <c r="G183" s="28"/>
      <c r="H183" s="40"/>
    </row>
    <row r="184" spans="1:8" s="26" customFormat="1" ht="15" customHeight="1" x14ac:dyDescent="0.3">
      <c r="A184" s="55" t="s">
        <v>94</v>
      </c>
      <c r="B184" s="41" t="s">
        <v>6</v>
      </c>
      <c r="C184" s="39" t="s">
        <v>30</v>
      </c>
      <c r="D184" s="41" t="s">
        <v>31</v>
      </c>
      <c r="E184" s="12">
        <f>E188+E194</f>
        <v>2719660</v>
      </c>
      <c r="F184" s="12">
        <f>F188+F194</f>
        <v>2174205</v>
      </c>
      <c r="G184" s="28">
        <f t="shared" ref="G184:G203" si="3">F184/E184</f>
        <v>0.799440003529853</v>
      </c>
      <c r="H184" s="40"/>
    </row>
    <row r="185" spans="1:8" s="26" customFormat="1" ht="25.5" customHeight="1" x14ac:dyDescent="0.3">
      <c r="A185" s="56"/>
      <c r="B185" s="41" t="s">
        <v>4</v>
      </c>
      <c r="C185" s="39" t="s">
        <v>95</v>
      </c>
      <c r="D185" s="41" t="s">
        <v>33</v>
      </c>
      <c r="E185" s="14">
        <v>65</v>
      </c>
      <c r="F185" s="41">
        <v>64</v>
      </c>
      <c r="G185" s="28"/>
      <c r="H185" s="40"/>
    </row>
    <row r="186" spans="1:8" s="26" customFormat="1" ht="39.6" x14ac:dyDescent="0.3">
      <c r="A186" s="56"/>
      <c r="B186" s="41" t="s">
        <v>7</v>
      </c>
      <c r="C186" s="39" t="s">
        <v>96</v>
      </c>
      <c r="D186" s="41" t="s">
        <v>97</v>
      </c>
      <c r="E186" s="12">
        <f>E184/E185</f>
        <v>41840.923076923078</v>
      </c>
      <c r="F186" s="12">
        <f>F184/F185</f>
        <v>33971.953125</v>
      </c>
      <c r="G186" s="28"/>
      <c r="H186" s="40"/>
    </row>
    <row r="187" spans="1:8" s="26" customFormat="1" ht="26.4" x14ac:dyDescent="0.3">
      <c r="A187" s="57"/>
      <c r="B187" s="41" t="s">
        <v>5</v>
      </c>
      <c r="C187" s="39" t="s">
        <v>98</v>
      </c>
      <c r="D187" s="41" t="s">
        <v>24</v>
      </c>
      <c r="E187" s="12">
        <f>(E193+E197)/2</f>
        <v>89.634999999999991</v>
      </c>
      <c r="F187" s="12">
        <f>(F193+F197)/2</f>
        <v>77.120238095238093</v>
      </c>
      <c r="G187" s="28"/>
      <c r="H187" s="40"/>
    </row>
    <row r="188" spans="1:8" s="26" customFormat="1" x14ac:dyDescent="0.3">
      <c r="A188" s="61" t="s">
        <v>99</v>
      </c>
      <c r="B188" s="41" t="s">
        <v>6</v>
      </c>
      <c r="C188" s="39" t="s">
        <v>30</v>
      </c>
      <c r="D188" s="41" t="s">
        <v>31</v>
      </c>
      <c r="E188" s="12">
        <f>619000+704600+18000</f>
        <v>1341600</v>
      </c>
      <c r="F188" s="12">
        <f>18000+475241+150400+224804</f>
        <v>868445</v>
      </c>
      <c r="G188" s="28">
        <f t="shared" si="3"/>
        <v>0.6473203637447823</v>
      </c>
      <c r="H188" s="40"/>
    </row>
    <row r="189" spans="1:8" s="26" customFormat="1" ht="26.4" x14ac:dyDescent="0.3">
      <c r="A189" s="80"/>
      <c r="B189" s="62" t="s">
        <v>4</v>
      </c>
      <c r="C189" s="39" t="s">
        <v>100</v>
      </c>
      <c r="D189" s="41" t="s">
        <v>33</v>
      </c>
      <c r="E189" s="14">
        <v>19</v>
      </c>
      <c r="F189" s="41">
        <f>8+6+1</f>
        <v>15</v>
      </c>
      <c r="G189" s="28"/>
      <c r="H189" s="40"/>
    </row>
    <row r="190" spans="1:8" s="26" customFormat="1" ht="39.6" x14ac:dyDescent="0.3">
      <c r="A190" s="80"/>
      <c r="B190" s="63"/>
      <c r="C190" s="39" t="s">
        <v>101</v>
      </c>
      <c r="D190" s="41" t="s">
        <v>33</v>
      </c>
      <c r="E190" s="14">
        <v>2</v>
      </c>
      <c r="F190" s="41">
        <v>1</v>
      </c>
      <c r="G190" s="28"/>
      <c r="H190" s="40"/>
    </row>
    <row r="191" spans="1:8" s="26" customFormat="1" ht="26.4" x14ac:dyDescent="0.3">
      <c r="A191" s="80"/>
      <c r="B191" s="62" t="s">
        <v>7</v>
      </c>
      <c r="C191" s="39" t="s">
        <v>102</v>
      </c>
      <c r="D191" s="41" t="s">
        <v>46</v>
      </c>
      <c r="E191" s="12">
        <f>(E188-E190*E192)/E189</f>
        <v>64687.084210526322</v>
      </c>
      <c r="F191" s="12">
        <f>(F188-F192)/F189</f>
        <v>54144.82</v>
      </c>
      <c r="G191" s="28"/>
      <c r="H191" s="40"/>
    </row>
    <row r="192" spans="1:8" s="26" customFormat="1" ht="26.4" x14ac:dyDescent="0.3">
      <c r="A192" s="80"/>
      <c r="B192" s="63"/>
      <c r="C192" s="39" t="s">
        <v>103</v>
      </c>
      <c r="D192" s="41" t="s">
        <v>46</v>
      </c>
      <c r="E192" s="12">
        <v>56272.7</v>
      </c>
      <c r="F192" s="12">
        <v>56272.7</v>
      </c>
      <c r="G192" s="28"/>
      <c r="H192" s="40"/>
    </row>
    <row r="193" spans="1:8" s="26" customFormat="1" ht="26.4" x14ac:dyDescent="0.3">
      <c r="A193" s="80"/>
      <c r="B193" s="41" t="s">
        <v>5</v>
      </c>
      <c r="C193" s="39" t="s">
        <v>104</v>
      </c>
      <c r="D193" s="41" t="s">
        <v>24</v>
      </c>
      <c r="E193" s="12">
        <v>100</v>
      </c>
      <c r="F193" s="12">
        <f>16/21*100</f>
        <v>76.19047619047619</v>
      </c>
      <c r="G193" s="28"/>
      <c r="H193" s="40"/>
    </row>
    <row r="194" spans="1:8" s="26" customFormat="1" x14ac:dyDescent="0.3">
      <c r="A194" s="61" t="s">
        <v>105</v>
      </c>
      <c r="B194" s="41" t="s">
        <v>6</v>
      </c>
      <c r="C194" s="39" t="s">
        <v>30</v>
      </c>
      <c r="D194" s="41" t="s">
        <v>31</v>
      </c>
      <c r="E194" s="12">
        <f>333000+478500+566560</f>
        <v>1378060</v>
      </c>
      <c r="F194" s="12">
        <f>455240+300000+550520</f>
        <v>1305760</v>
      </c>
      <c r="G194" s="28">
        <f t="shared" si="3"/>
        <v>0.94753494042349384</v>
      </c>
      <c r="H194" s="40"/>
    </row>
    <row r="195" spans="1:8" s="26" customFormat="1" ht="32.4" customHeight="1" x14ac:dyDescent="0.3">
      <c r="A195" s="61"/>
      <c r="B195" s="41" t="s">
        <v>4</v>
      </c>
      <c r="C195" s="39" t="s">
        <v>95</v>
      </c>
      <c r="D195" s="41" t="s">
        <v>33</v>
      </c>
      <c r="E195" s="14">
        <v>65</v>
      </c>
      <c r="F195" s="41">
        <v>64</v>
      </c>
      <c r="G195" s="28"/>
      <c r="H195" s="40"/>
    </row>
    <row r="196" spans="1:8" s="26" customFormat="1" ht="38.4" customHeight="1" x14ac:dyDescent="0.3">
      <c r="A196" s="61"/>
      <c r="B196" s="41" t="s">
        <v>7</v>
      </c>
      <c r="C196" s="39" t="s">
        <v>106</v>
      </c>
      <c r="D196" s="41" t="s">
        <v>97</v>
      </c>
      <c r="E196" s="12">
        <f>E194/E195</f>
        <v>21200.923076923078</v>
      </c>
      <c r="F196" s="12">
        <f>F194/F195</f>
        <v>20402.5</v>
      </c>
      <c r="G196" s="28"/>
      <c r="H196" s="40"/>
    </row>
    <row r="197" spans="1:8" s="26" customFormat="1" ht="26.4" x14ac:dyDescent="0.3">
      <c r="A197" s="61"/>
      <c r="B197" s="41" t="s">
        <v>5</v>
      </c>
      <c r="C197" s="39" t="s">
        <v>98</v>
      </c>
      <c r="D197" s="41" t="s">
        <v>24</v>
      </c>
      <c r="E197" s="12">
        <v>79.27</v>
      </c>
      <c r="F197" s="13">
        <v>78.05</v>
      </c>
      <c r="G197" s="28"/>
      <c r="H197" s="40"/>
    </row>
    <row r="198" spans="1:8" s="26" customFormat="1" x14ac:dyDescent="0.3">
      <c r="A198" s="55" t="s">
        <v>107</v>
      </c>
      <c r="B198" s="41" t="s">
        <v>6</v>
      </c>
      <c r="C198" s="39" t="s">
        <v>30</v>
      </c>
      <c r="D198" s="41" t="s">
        <v>31</v>
      </c>
      <c r="E198" s="12">
        <f>E202+E203</f>
        <v>2202000</v>
      </c>
      <c r="F198" s="12">
        <f>F202+F203</f>
        <v>312000</v>
      </c>
      <c r="G198" s="28">
        <f>F198/E198</f>
        <v>0.14168937329700274</v>
      </c>
      <c r="H198" s="40"/>
    </row>
    <row r="199" spans="1:8" s="26" customFormat="1" ht="29.4" customHeight="1" x14ac:dyDescent="0.3">
      <c r="A199" s="56"/>
      <c r="B199" s="41" t="s">
        <v>4</v>
      </c>
      <c r="C199" s="39" t="s">
        <v>40</v>
      </c>
      <c r="D199" s="41" t="s">
        <v>108</v>
      </c>
      <c r="E199" s="18">
        <v>26</v>
      </c>
      <c r="F199" s="19">
        <v>9</v>
      </c>
      <c r="G199" s="28"/>
      <c r="H199" s="32"/>
    </row>
    <row r="200" spans="1:8" s="26" customFormat="1" ht="47.4" customHeight="1" x14ac:dyDescent="0.3">
      <c r="A200" s="56"/>
      <c r="B200" s="41" t="s">
        <v>7</v>
      </c>
      <c r="C200" s="39" t="s">
        <v>109</v>
      </c>
      <c r="D200" s="41" t="s">
        <v>35</v>
      </c>
      <c r="E200" s="17">
        <f>E198/E199</f>
        <v>84692.307692307688</v>
      </c>
      <c r="F200" s="17">
        <f>F198/F199</f>
        <v>34666.666666666664</v>
      </c>
      <c r="G200" s="28"/>
      <c r="H200" s="32"/>
    </row>
    <row r="201" spans="1:8" s="26" customFormat="1" ht="18.600000000000001" customHeight="1" x14ac:dyDescent="0.3">
      <c r="A201" s="57"/>
      <c r="B201" s="41" t="s">
        <v>5</v>
      </c>
      <c r="C201" s="39" t="s">
        <v>110</v>
      </c>
      <c r="D201" s="41" t="s">
        <v>24</v>
      </c>
      <c r="E201" s="16">
        <v>100</v>
      </c>
      <c r="F201" s="45">
        <f>F199/E199</f>
        <v>0.34615384615384615</v>
      </c>
      <c r="G201" s="28"/>
      <c r="H201" s="32"/>
    </row>
    <row r="202" spans="1:8" s="26" customFormat="1" x14ac:dyDescent="0.3">
      <c r="A202" s="76" t="s">
        <v>111</v>
      </c>
      <c r="B202" s="62" t="s">
        <v>6</v>
      </c>
      <c r="C202" s="39" t="s">
        <v>30</v>
      </c>
      <c r="D202" s="41" t="s">
        <v>31</v>
      </c>
      <c r="E202" s="16">
        <f>1200000+520000</f>
        <v>1720000</v>
      </c>
      <c r="F202" s="17">
        <v>0</v>
      </c>
      <c r="G202" s="28">
        <f t="shared" si="3"/>
        <v>0</v>
      </c>
      <c r="H202" s="58"/>
    </row>
    <row r="203" spans="1:8" s="26" customFormat="1" x14ac:dyDescent="0.3">
      <c r="A203" s="76"/>
      <c r="B203" s="74"/>
      <c r="C203" s="39" t="s">
        <v>30</v>
      </c>
      <c r="D203" s="41" t="s">
        <v>31</v>
      </c>
      <c r="E203" s="16">
        <f>300000+182000</f>
        <v>482000</v>
      </c>
      <c r="F203" s="16">
        <f>300000+12000</f>
        <v>312000</v>
      </c>
      <c r="G203" s="28">
        <f t="shared" si="3"/>
        <v>0.64730290456431538</v>
      </c>
      <c r="H203" s="59"/>
    </row>
    <row r="204" spans="1:8" s="26" customFormat="1" x14ac:dyDescent="0.3">
      <c r="A204" s="76"/>
      <c r="B204" s="63"/>
      <c r="C204" s="39" t="s">
        <v>112</v>
      </c>
      <c r="D204" s="41" t="s">
        <v>108</v>
      </c>
      <c r="E204" s="18">
        <v>26</v>
      </c>
      <c r="F204" s="18">
        <v>9</v>
      </c>
      <c r="G204" s="28"/>
      <c r="H204" s="59"/>
    </row>
    <row r="205" spans="1:8" s="26" customFormat="1" ht="43.5" customHeight="1" x14ac:dyDescent="0.3">
      <c r="A205" s="76"/>
      <c r="B205" s="62" t="s">
        <v>4</v>
      </c>
      <c r="C205" s="39" t="s">
        <v>40</v>
      </c>
      <c r="D205" s="41" t="s">
        <v>33</v>
      </c>
      <c r="E205" s="18">
        <v>14</v>
      </c>
      <c r="F205" s="18">
        <v>0</v>
      </c>
      <c r="G205" s="28"/>
      <c r="H205" s="59"/>
    </row>
    <row r="206" spans="1:8" s="26" customFormat="1" ht="43.5" customHeight="1" x14ac:dyDescent="0.3">
      <c r="A206" s="76"/>
      <c r="B206" s="63"/>
      <c r="C206" s="39" t="s">
        <v>40</v>
      </c>
      <c r="D206" s="41" t="s">
        <v>33</v>
      </c>
      <c r="E206" s="18">
        <v>12</v>
      </c>
      <c r="F206" s="18">
        <v>9</v>
      </c>
      <c r="G206" s="28"/>
      <c r="H206" s="59"/>
    </row>
    <row r="207" spans="1:8" s="26" customFormat="1" ht="52.8" x14ac:dyDescent="0.3">
      <c r="A207" s="76"/>
      <c r="B207" s="62" t="s">
        <v>7</v>
      </c>
      <c r="C207" s="39" t="s">
        <v>113</v>
      </c>
      <c r="D207" s="41" t="s">
        <v>35</v>
      </c>
      <c r="E207" s="17">
        <f>E202/E205</f>
        <v>122857.14285714286</v>
      </c>
      <c r="F207" s="17">
        <v>0</v>
      </c>
      <c r="G207" s="28"/>
      <c r="H207" s="59"/>
    </row>
    <row r="208" spans="1:8" s="26" customFormat="1" ht="52.8" x14ac:dyDescent="0.3">
      <c r="A208" s="76"/>
      <c r="B208" s="63"/>
      <c r="C208" s="39" t="s">
        <v>113</v>
      </c>
      <c r="D208" s="41" t="s">
        <v>35</v>
      </c>
      <c r="E208" s="17">
        <f>E203/E206</f>
        <v>40166.666666666664</v>
      </c>
      <c r="F208" s="17">
        <f>F203/F206</f>
        <v>34666.666666666664</v>
      </c>
      <c r="G208" s="28"/>
      <c r="H208" s="59"/>
    </row>
    <row r="209" spans="1:14" s="26" customFormat="1" ht="26.4" x14ac:dyDescent="0.3">
      <c r="A209" s="76"/>
      <c r="B209" s="62" t="s">
        <v>5</v>
      </c>
      <c r="C209" s="39" t="s">
        <v>42</v>
      </c>
      <c r="D209" s="41" t="s">
        <v>24</v>
      </c>
      <c r="E209" s="17">
        <v>100</v>
      </c>
      <c r="F209" s="17">
        <v>0</v>
      </c>
      <c r="G209" s="28"/>
      <c r="H209" s="59"/>
    </row>
    <row r="210" spans="1:14" s="26" customFormat="1" ht="26.4" x14ac:dyDescent="0.3">
      <c r="A210" s="76"/>
      <c r="B210" s="63"/>
      <c r="C210" s="39" t="s">
        <v>42</v>
      </c>
      <c r="D210" s="41" t="s">
        <v>24</v>
      </c>
      <c r="E210" s="17">
        <v>100</v>
      </c>
      <c r="F210" s="24">
        <f>F204/E204</f>
        <v>0.34615384615384615</v>
      </c>
      <c r="G210" s="28"/>
      <c r="H210" s="60"/>
    </row>
    <row r="211" spans="1:14" s="26" customFormat="1" x14ac:dyDescent="0.3">
      <c r="A211" s="77" t="s">
        <v>114</v>
      </c>
      <c r="B211" s="78"/>
      <c r="C211" s="78"/>
      <c r="D211" s="78"/>
      <c r="E211" s="78"/>
      <c r="F211" s="78"/>
      <c r="G211" s="78"/>
      <c r="H211" s="79"/>
    </row>
    <row r="212" spans="1:14" s="26" customFormat="1" x14ac:dyDescent="0.3">
      <c r="A212" s="55" t="s">
        <v>115</v>
      </c>
      <c r="B212" s="46" t="s">
        <v>6</v>
      </c>
      <c r="C212" s="47" t="s">
        <v>30</v>
      </c>
      <c r="D212" s="46" t="s">
        <v>31</v>
      </c>
      <c r="E212" s="17">
        <f>E216+E221+E225+E229+E235+E241</f>
        <v>49768022.350000001</v>
      </c>
      <c r="F212" s="17">
        <f>F216+F221+F225+F229+F235+F241</f>
        <v>19309503.880000003</v>
      </c>
      <c r="G212" s="24">
        <f>F212/E212</f>
        <v>0.38799017859708068</v>
      </c>
      <c r="H212" s="48"/>
    </row>
    <row r="213" spans="1:14" s="26" customFormat="1" ht="26.4" x14ac:dyDescent="0.3">
      <c r="A213" s="56"/>
      <c r="B213" s="38" t="s">
        <v>4</v>
      </c>
      <c r="C213" s="42" t="s">
        <v>116</v>
      </c>
      <c r="D213" s="38" t="s">
        <v>33</v>
      </c>
      <c r="E213" s="18">
        <v>3</v>
      </c>
      <c r="F213" s="18">
        <v>2</v>
      </c>
      <c r="G213" s="24"/>
      <c r="H213" s="32"/>
    </row>
    <row r="214" spans="1:14" s="26" customFormat="1" ht="22.2" customHeight="1" x14ac:dyDescent="0.3">
      <c r="A214" s="56"/>
      <c r="B214" s="41" t="s">
        <v>7</v>
      </c>
      <c r="C214" s="39" t="s">
        <v>117</v>
      </c>
      <c r="D214" s="41" t="s">
        <v>46</v>
      </c>
      <c r="E214" s="17">
        <f>E212/E213</f>
        <v>16589340.783333333</v>
      </c>
      <c r="F214" s="17">
        <f>F212/F213</f>
        <v>9654751.9400000013</v>
      </c>
      <c r="G214" s="24"/>
      <c r="H214" s="32"/>
    </row>
    <row r="215" spans="1:14" s="26" customFormat="1" ht="31.2" customHeight="1" x14ac:dyDescent="0.3">
      <c r="A215" s="57"/>
      <c r="B215" s="41" t="s">
        <v>5</v>
      </c>
      <c r="C215" s="39" t="s">
        <v>118</v>
      </c>
      <c r="D215" s="41" t="s">
        <v>24</v>
      </c>
      <c r="E215" s="17">
        <f>AVERAGE(E220,E224,E228,E234,E240,E244)</f>
        <v>96.976431376692915</v>
      </c>
      <c r="F215" s="17">
        <f>(F220+F234+F244)/3</f>
        <v>76.07782532889523</v>
      </c>
      <c r="G215" s="24"/>
      <c r="H215" s="32"/>
    </row>
    <row r="216" spans="1:14" s="26" customFormat="1" ht="20.399999999999999" customHeight="1" x14ac:dyDescent="0.3">
      <c r="A216" s="61" t="s">
        <v>268</v>
      </c>
      <c r="B216" s="62" t="s">
        <v>6</v>
      </c>
      <c r="C216" s="39" t="s">
        <v>30</v>
      </c>
      <c r="D216" s="41" t="s">
        <v>31</v>
      </c>
      <c r="E216" s="17">
        <f>14689666+10824760</f>
        <v>25514426</v>
      </c>
      <c r="F216" s="17">
        <v>4797573.4400000004</v>
      </c>
      <c r="G216" s="24">
        <f t="shared" ref="G216:G229" si="4">F216/E216</f>
        <v>0.18803375941124445</v>
      </c>
      <c r="H216" s="62" t="s">
        <v>86</v>
      </c>
    </row>
    <row r="217" spans="1:14" s="26" customFormat="1" ht="35.4" customHeight="1" x14ac:dyDescent="0.3">
      <c r="A217" s="61"/>
      <c r="B217" s="63"/>
      <c r="C217" s="39" t="s">
        <v>119</v>
      </c>
      <c r="D217" s="41" t="s">
        <v>49</v>
      </c>
      <c r="E217" s="17">
        <v>2523.6</v>
      </c>
      <c r="F217" s="17">
        <v>2523.6</v>
      </c>
      <c r="G217" s="24"/>
      <c r="H217" s="74"/>
    </row>
    <row r="218" spans="1:14" s="26" customFormat="1" ht="45.6" customHeight="1" x14ac:dyDescent="0.3">
      <c r="A218" s="61"/>
      <c r="B218" s="41" t="s">
        <v>4</v>
      </c>
      <c r="C218" s="39" t="s">
        <v>120</v>
      </c>
      <c r="D218" s="41" t="s">
        <v>49</v>
      </c>
      <c r="E218" s="17">
        <f>1316.3+1053.25</f>
        <v>2369.5500000000002</v>
      </c>
      <c r="F218" s="17">
        <v>712.5</v>
      </c>
      <c r="G218" s="24"/>
      <c r="H218" s="74"/>
    </row>
    <row r="219" spans="1:14" s="26" customFormat="1" ht="34.200000000000003" customHeight="1" x14ac:dyDescent="0.3">
      <c r="A219" s="61"/>
      <c r="B219" s="41" t="s">
        <v>7</v>
      </c>
      <c r="C219" s="39" t="s">
        <v>121</v>
      </c>
      <c r="D219" s="41" t="s">
        <v>53</v>
      </c>
      <c r="E219" s="17">
        <f>E216/E218</f>
        <v>10767.625076491317</v>
      </c>
      <c r="F219" s="17">
        <f>F216/F218</f>
        <v>6733.4364070175443</v>
      </c>
      <c r="G219" s="24"/>
      <c r="H219" s="74"/>
    </row>
    <row r="220" spans="1:14" s="26" customFormat="1" ht="32.4" customHeight="1" x14ac:dyDescent="0.3">
      <c r="A220" s="61"/>
      <c r="B220" s="41" t="s">
        <v>5</v>
      </c>
      <c r="C220" s="39" t="s">
        <v>80</v>
      </c>
      <c r="D220" s="41" t="s">
        <v>24</v>
      </c>
      <c r="E220" s="17">
        <f>E218*100/E217</f>
        <v>93.895625297194499</v>
      </c>
      <c r="F220" s="17">
        <f>F218*100/F217</f>
        <v>28.233475986685686</v>
      </c>
      <c r="G220" s="24"/>
      <c r="H220" s="63"/>
      <c r="N220" s="26" t="s">
        <v>0</v>
      </c>
    </row>
    <row r="221" spans="1:14" s="26" customFormat="1" x14ac:dyDescent="0.3">
      <c r="A221" s="61" t="s">
        <v>226</v>
      </c>
      <c r="B221" s="37" t="s">
        <v>6</v>
      </c>
      <c r="C221" s="39" t="s">
        <v>30</v>
      </c>
      <c r="D221" s="41" t="s">
        <v>31</v>
      </c>
      <c r="E221" s="17">
        <v>750000</v>
      </c>
      <c r="F221" s="17">
        <v>750000</v>
      </c>
      <c r="G221" s="24">
        <f t="shared" si="4"/>
        <v>1</v>
      </c>
      <c r="H221" s="38"/>
    </row>
    <row r="222" spans="1:14" s="26" customFormat="1" ht="16.2" customHeight="1" x14ac:dyDescent="0.3">
      <c r="A222" s="61"/>
      <c r="B222" s="41" t="s">
        <v>4</v>
      </c>
      <c r="C222" s="39" t="s">
        <v>227</v>
      </c>
      <c r="D222" s="41" t="s">
        <v>33</v>
      </c>
      <c r="E222" s="18">
        <v>1</v>
      </c>
      <c r="F222" s="18">
        <v>1</v>
      </c>
      <c r="G222" s="24"/>
      <c r="H222" s="38"/>
    </row>
    <row r="223" spans="1:14" s="26" customFormat="1" ht="36" customHeight="1" x14ac:dyDescent="0.3">
      <c r="A223" s="61"/>
      <c r="B223" s="41" t="s">
        <v>7</v>
      </c>
      <c r="C223" s="39" t="s">
        <v>228</v>
      </c>
      <c r="D223" s="41" t="s">
        <v>46</v>
      </c>
      <c r="E223" s="17">
        <f>E221/E222</f>
        <v>750000</v>
      </c>
      <c r="F223" s="17">
        <f>F221/F222</f>
        <v>750000</v>
      </c>
      <c r="G223" s="24"/>
      <c r="H223" s="38"/>
    </row>
    <row r="224" spans="1:14" s="26" customFormat="1" ht="27.6" customHeight="1" x14ac:dyDescent="0.3">
      <c r="A224" s="61"/>
      <c r="B224" s="41" t="s">
        <v>5</v>
      </c>
      <c r="C224" s="39" t="s">
        <v>229</v>
      </c>
      <c r="D224" s="41" t="s">
        <v>24</v>
      </c>
      <c r="E224" s="17">
        <v>100</v>
      </c>
      <c r="F224" s="17">
        <v>100</v>
      </c>
      <c r="G224" s="24"/>
      <c r="H224" s="38"/>
    </row>
    <row r="225" spans="1:8" s="26" customFormat="1" ht="20.399999999999999" customHeight="1" x14ac:dyDescent="0.3">
      <c r="A225" s="61" t="s">
        <v>279</v>
      </c>
      <c r="B225" s="41" t="s">
        <v>6</v>
      </c>
      <c r="C225" s="39" t="s">
        <v>30</v>
      </c>
      <c r="D225" s="41" t="s">
        <v>31</v>
      </c>
      <c r="E225" s="17">
        <v>5567101</v>
      </c>
      <c r="F225" s="17">
        <v>4798061.28</v>
      </c>
      <c r="G225" s="24">
        <f t="shared" si="4"/>
        <v>0.86185993032998687</v>
      </c>
      <c r="H225" s="38"/>
    </row>
    <row r="226" spans="1:8" s="26" customFormat="1" ht="26.4" x14ac:dyDescent="0.3">
      <c r="A226" s="61"/>
      <c r="B226" s="41" t="s">
        <v>4</v>
      </c>
      <c r="C226" s="39" t="s">
        <v>230</v>
      </c>
      <c r="D226" s="41" t="s">
        <v>33</v>
      </c>
      <c r="E226" s="18">
        <v>1</v>
      </c>
      <c r="F226" s="18">
        <v>1</v>
      </c>
      <c r="G226" s="24"/>
      <c r="H226" s="38"/>
    </row>
    <row r="227" spans="1:8" s="26" customFormat="1" ht="41.4" customHeight="1" x14ac:dyDescent="0.3">
      <c r="A227" s="61"/>
      <c r="B227" s="41" t="s">
        <v>7</v>
      </c>
      <c r="C227" s="39" t="s">
        <v>231</v>
      </c>
      <c r="D227" s="41" t="s">
        <v>31</v>
      </c>
      <c r="E227" s="17">
        <f>E225/E226</f>
        <v>5567101</v>
      </c>
      <c r="F227" s="17">
        <f>F225/F226</f>
        <v>4798061.28</v>
      </c>
      <c r="G227" s="24"/>
      <c r="H227" s="38"/>
    </row>
    <row r="228" spans="1:8" s="26" customFormat="1" ht="26.4" x14ac:dyDescent="0.3">
      <c r="A228" s="61"/>
      <c r="B228" s="41" t="s">
        <v>5</v>
      </c>
      <c r="C228" s="39" t="s">
        <v>232</v>
      </c>
      <c r="D228" s="41" t="s">
        <v>24</v>
      </c>
      <c r="E228" s="17">
        <v>100</v>
      </c>
      <c r="F228" s="17">
        <v>100</v>
      </c>
      <c r="G228" s="24"/>
      <c r="H228" s="38"/>
    </row>
    <row r="229" spans="1:8" s="26" customFormat="1" ht="18" customHeight="1" x14ac:dyDescent="0.3">
      <c r="A229" s="61" t="s">
        <v>280</v>
      </c>
      <c r="B229" s="41" t="s">
        <v>6</v>
      </c>
      <c r="C229" s="39" t="s">
        <v>30</v>
      </c>
      <c r="D229" s="41" t="s">
        <v>31</v>
      </c>
      <c r="E229" s="17">
        <v>299189.34999999998</v>
      </c>
      <c r="F229" s="17">
        <v>238000</v>
      </c>
      <c r="G229" s="24">
        <f t="shared" si="4"/>
        <v>0.79548286060315987</v>
      </c>
      <c r="H229" s="32"/>
    </row>
    <row r="230" spans="1:8" s="26" customFormat="1" ht="26.4" x14ac:dyDescent="0.3">
      <c r="A230" s="61"/>
      <c r="B230" s="62" t="s">
        <v>4</v>
      </c>
      <c r="C230" s="39" t="s">
        <v>122</v>
      </c>
      <c r="D230" s="41" t="s">
        <v>33</v>
      </c>
      <c r="E230" s="18">
        <v>1</v>
      </c>
      <c r="F230" s="18">
        <v>1</v>
      </c>
      <c r="G230" s="32"/>
      <c r="H230" s="32"/>
    </row>
    <row r="231" spans="1:8" s="26" customFormat="1" x14ac:dyDescent="0.3">
      <c r="A231" s="61"/>
      <c r="B231" s="63"/>
      <c r="C231" s="39" t="s">
        <v>123</v>
      </c>
      <c r="D231" s="41" t="s">
        <v>33</v>
      </c>
      <c r="E231" s="18">
        <v>1</v>
      </c>
      <c r="F231" s="18">
        <v>0</v>
      </c>
      <c r="G231" s="32"/>
      <c r="H231" s="32"/>
    </row>
    <row r="232" spans="1:8" s="26" customFormat="1" x14ac:dyDescent="0.3">
      <c r="A232" s="61"/>
      <c r="B232" s="62" t="s">
        <v>7</v>
      </c>
      <c r="C232" s="39" t="s">
        <v>124</v>
      </c>
      <c r="D232" s="41" t="s">
        <v>31</v>
      </c>
      <c r="E232" s="17">
        <v>238000</v>
      </c>
      <c r="F232" s="17">
        <f>F229/F230</f>
        <v>238000</v>
      </c>
      <c r="G232" s="32"/>
      <c r="H232" s="32"/>
    </row>
    <row r="233" spans="1:8" s="26" customFormat="1" ht="26.4" x14ac:dyDescent="0.3">
      <c r="A233" s="61"/>
      <c r="B233" s="63"/>
      <c r="C233" s="39" t="s">
        <v>125</v>
      </c>
      <c r="D233" s="41" t="s">
        <v>31</v>
      </c>
      <c r="E233" s="17">
        <v>61189.35</v>
      </c>
      <c r="F233" s="17">
        <v>0</v>
      </c>
      <c r="G233" s="32"/>
      <c r="H233" s="32"/>
    </row>
    <row r="234" spans="1:8" s="26" customFormat="1" ht="17.25" customHeight="1" x14ac:dyDescent="0.3">
      <c r="A234" s="61"/>
      <c r="B234" s="41" t="s">
        <v>5</v>
      </c>
      <c r="C234" s="39" t="s">
        <v>126</v>
      </c>
      <c r="D234" s="41" t="s">
        <v>24</v>
      </c>
      <c r="E234" s="17">
        <v>100</v>
      </c>
      <c r="F234" s="17">
        <v>100</v>
      </c>
      <c r="G234" s="32"/>
      <c r="H234" s="32"/>
    </row>
    <row r="235" spans="1:8" s="26" customFormat="1" ht="17.25" customHeight="1" x14ac:dyDescent="0.3">
      <c r="A235" s="61" t="s">
        <v>281</v>
      </c>
      <c r="B235" s="62" t="s">
        <v>6</v>
      </c>
      <c r="C235" s="39" t="s">
        <v>30</v>
      </c>
      <c r="D235" s="41" t="s">
        <v>31</v>
      </c>
      <c r="E235" s="17">
        <v>8366728</v>
      </c>
      <c r="F235" s="17">
        <v>0</v>
      </c>
      <c r="G235" s="24">
        <f>F235/E235</f>
        <v>0</v>
      </c>
      <c r="H235" s="81" t="s">
        <v>270</v>
      </c>
    </row>
    <row r="236" spans="1:8" s="26" customFormat="1" ht="17.25" customHeight="1" x14ac:dyDescent="0.3">
      <c r="A236" s="61"/>
      <c r="B236" s="63"/>
      <c r="C236" s="39" t="s">
        <v>233</v>
      </c>
      <c r="D236" s="41" t="s">
        <v>139</v>
      </c>
      <c r="E236" s="17">
        <v>432</v>
      </c>
      <c r="F236" s="17">
        <v>0</v>
      </c>
      <c r="G236" s="32"/>
      <c r="H236" s="82"/>
    </row>
    <row r="237" spans="1:8" s="26" customFormat="1" ht="25.2" customHeight="1" x14ac:dyDescent="0.3">
      <c r="A237" s="61"/>
      <c r="B237" s="62" t="s">
        <v>4</v>
      </c>
      <c r="C237" s="39" t="s">
        <v>234</v>
      </c>
      <c r="D237" s="41" t="s">
        <v>139</v>
      </c>
      <c r="E237" s="17">
        <v>380</v>
      </c>
      <c r="F237" s="17">
        <v>0</v>
      </c>
      <c r="G237" s="32"/>
      <c r="H237" s="82"/>
    </row>
    <row r="238" spans="1:8" s="26" customFormat="1" ht="16.2" customHeight="1" x14ac:dyDescent="0.3">
      <c r="A238" s="61"/>
      <c r="B238" s="63"/>
      <c r="C238" s="39" t="s">
        <v>235</v>
      </c>
      <c r="D238" s="41" t="s">
        <v>236</v>
      </c>
      <c r="E238" s="17">
        <v>3890</v>
      </c>
      <c r="F238" s="17">
        <v>0</v>
      </c>
      <c r="G238" s="32"/>
      <c r="H238" s="82"/>
    </row>
    <row r="239" spans="1:8" s="26" customFormat="1" ht="25.8" customHeight="1" x14ac:dyDescent="0.3">
      <c r="A239" s="61"/>
      <c r="B239" s="41" t="s">
        <v>7</v>
      </c>
      <c r="C239" s="39" t="s">
        <v>237</v>
      </c>
      <c r="D239" s="41" t="s">
        <v>238</v>
      </c>
      <c r="E239" s="17">
        <f>E235/E237</f>
        <v>22017.705263157895</v>
      </c>
      <c r="F239" s="17">
        <v>0</v>
      </c>
      <c r="G239" s="32"/>
      <c r="H239" s="82"/>
    </row>
    <row r="240" spans="1:8" s="26" customFormat="1" ht="34.799999999999997" customHeight="1" x14ac:dyDescent="0.3">
      <c r="A240" s="61"/>
      <c r="B240" s="41" t="s">
        <v>5</v>
      </c>
      <c r="C240" s="39" t="s">
        <v>239</v>
      </c>
      <c r="D240" s="41" t="s">
        <v>24</v>
      </c>
      <c r="E240" s="17">
        <f>E237*100/E236</f>
        <v>87.962962962962962</v>
      </c>
      <c r="F240" s="17">
        <v>0</v>
      </c>
      <c r="G240" s="32"/>
      <c r="H240" s="83"/>
    </row>
    <row r="241" spans="1:8" s="26" customFormat="1" ht="18.600000000000001" customHeight="1" x14ac:dyDescent="0.3">
      <c r="A241" s="61" t="s">
        <v>272</v>
      </c>
      <c r="B241" s="37" t="s">
        <v>6</v>
      </c>
      <c r="C241" s="39" t="s">
        <v>30</v>
      </c>
      <c r="D241" s="41" t="s">
        <v>31</v>
      </c>
      <c r="E241" s="17">
        <v>9270578</v>
      </c>
      <c r="F241" s="17">
        <v>8725869.1600000001</v>
      </c>
      <c r="G241" s="24">
        <f t="shared" ref="G241" si="5">F241/E241</f>
        <v>0.94124327091579407</v>
      </c>
      <c r="H241" s="32"/>
    </row>
    <row r="242" spans="1:8" s="26" customFormat="1" ht="32.25" customHeight="1" x14ac:dyDescent="0.3">
      <c r="A242" s="61"/>
      <c r="B242" s="37" t="s">
        <v>4</v>
      </c>
      <c r="C242" s="39" t="s">
        <v>59</v>
      </c>
      <c r="D242" s="41" t="s">
        <v>49</v>
      </c>
      <c r="E242" s="17">
        <v>990</v>
      </c>
      <c r="F242" s="17">
        <v>990</v>
      </c>
      <c r="G242" s="32"/>
      <c r="H242" s="32"/>
    </row>
    <row r="243" spans="1:8" s="26" customFormat="1" ht="31.8" customHeight="1" x14ac:dyDescent="0.3">
      <c r="A243" s="61"/>
      <c r="B243" s="41" t="s">
        <v>7</v>
      </c>
      <c r="C243" s="39" t="s">
        <v>60</v>
      </c>
      <c r="D243" s="41" t="s">
        <v>53</v>
      </c>
      <c r="E243" s="17">
        <f>E241/E242</f>
        <v>9364.2202020202021</v>
      </c>
      <c r="F243" s="17">
        <f>F241/F242</f>
        <v>8814.009252525253</v>
      </c>
      <c r="G243" s="32"/>
      <c r="H243" s="32"/>
    </row>
    <row r="244" spans="1:8" s="26" customFormat="1" ht="32.25" customHeight="1" x14ac:dyDescent="0.3">
      <c r="A244" s="61"/>
      <c r="B244" s="41" t="s">
        <v>5</v>
      </c>
      <c r="C244" s="39" t="s">
        <v>61</v>
      </c>
      <c r="D244" s="41" t="s">
        <v>24</v>
      </c>
      <c r="E244" s="17">
        <v>100</v>
      </c>
      <c r="F244" s="17">
        <v>100</v>
      </c>
      <c r="G244" s="32"/>
      <c r="H244" s="32"/>
    </row>
    <row r="245" spans="1:8" s="49" customFormat="1" x14ac:dyDescent="0.3">
      <c r="A245" s="55" t="s">
        <v>127</v>
      </c>
      <c r="B245" s="41" t="s">
        <v>6</v>
      </c>
      <c r="C245" s="39" t="s">
        <v>30</v>
      </c>
      <c r="D245" s="41" t="s">
        <v>31</v>
      </c>
      <c r="E245" s="17">
        <f>E249+E253</f>
        <v>911722</v>
      </c>
      <c r="F245" s="17">
        <f>F249+F253</f>
        <v>617178.07999999996</v>
      </c>
      <c r="G245" s="45">
        <f>F245/E245</f>
        <v>0.67693669780920052</v>
      </c>
      <c r="H245" s="32"/>
    </row>
    <row r="246" spans="1:8" s="26" customFormat="1" ht="25.5" customHeight="1" x14ac:dyDescent="0.3">
      <c r="A246" s="56"/>
      <c r="B246" s="41" t="s">
        <v>4</v>
      </c>
      <c r="C246" s="39" t="s">
        <v>128</v>
      </c>
      <c r="D246" s="41" t="s">
        <v>33</v>
      </c>
      <c r="E246" s="18">
        <v>4</v>
      </c>
      <c r="F246" s="18">
        <v>4</v>
      </c>
      <c r="G246" s="45"/>
      <c r="H246" s="32"/>
    </row>
    <row r="247" spans="1:8" s="26" customFormat="1" ht="26.4" x14ac:dyDescent="0.3">
      <c r="A247" s="56"/>
      <c r="B247" s="41" t="s">
        <v>7</v>
      </c>
      <c r="C247" s="39" t="s">
        <v>106</v>
      </c>
      <c r="D247" s="41" t="s">
        <v>46</v>
      </c>
      <c r="E247" s="17">
        <f>E245/E246</f>
        <v>227930.5</v>
      </c>
      <c r="F247" s="17">
        <f>F245/F246</f>
        <v>154294.51999999999</v>
      </c>
      <c r="G247" s="45"/>
      <c r="H247" s="32"/>
    </row>
    <row r="248" spans="1:8" s="26" customFormat="1" ht="26.4" x14ac:dyDescent="0.3">
      <c r="A248" s="57"/>
      <c r="B248" s="41" t="s">
        <v>5</v>
      </c>
      <c r="C248" s="39" t="s">
        <v>98</v>
      </c>
      <c r="D248" s="41" t="s">
        <v>24</v>
      </c>
      <c r="E248" s="17">
        <f>E246/9*100</f>
        <v>44.444444444444443</v>
      </c>
      <c r="F248" s="17">
        <f>F246/9*100</f>
        <v>44.444444444444443</v>
      </c>
      <c r="G248" s="45"/>
      <c r="H248" s="32"/>
    </row>
    <row r="249" spans="1:8" s="26" customFormat="1" x14ac:dyDescent="0.3">
      <c r="A249" s="61" t="s">
        <v>129</v>
      </c>
      <c r="B249" s="41" t="s">
        <v>6</v>
      </c>
      <c r="C249" s="39" t="s">
        <v>30</v>
      </c>
      <c r="D249" s="41" t="s">
        <v>31</v>
      </c>
      <c r="E249" s="33">
        <f>372022+150000+303300</f>
        <v>825322</v>
      </c>
      <c r="F249" s="17">
        <f>181500+291908+90870.08</f>
        <v>564278.07999999996</v>
      </c>
      <c r="G249" s="45">
        <f t="shared" ref="G249:G253" si="6">F249/E249</f>
        <v>0.68370657755397279</v>
      </c>
      <c r="H249" s="32"/>
    </row>
    <row r="250" spans="1:8" s="26" customFormat="1" ht="26.4" x14ac:dyDescent="0.3">
      <c r="A250" s="61"/>
      <c r="B250" s="41" t="s">
        <v>4</v>
      </c>
      <c r="C250" s="39" t="s">
        <v>130</v>
      </c>
      <c r="D250" s="41" t="s">
        <v>33</v>
      </c>
      <c r="E250" s="18">
        <v>7</v>
      </c>
      <c r="F250" s="18">
        <v>4</v>
      </c>
      <c r="G250" s="45"/>
      <c r="H250" s="32"/>
    </row>
    <row r="251" spans="1:8" s="26" customFormat="1" ht="26.4" x14ac:dyDescent="0.3">
      <c r="A251" s="61"/>
      <c r="B251" s="41" t="s">
        <v>7</v>
      </c>
      <c r="C251" s="39" t="s">
        <v>106</v>
      </c>
      <c r="D251" s="41" t="s">
        <v>46</v>
      </c>
      <c r="E251" s="17">
        <f>E249/E250</f>
        <v>117903.14285714286</v>
      </c>
      <c r="F251" s="17">
        <f>F249/F250</f>
        <v>141069.51999999999</v>
      </c>
      <c r="G251" s="45"/>
      <c r="H251" s="32"/>
    </row>
    <row r="252" spans="1:8" s="26" customFormat="1" ht="26.4" x14ac:dyDescent="0.3">
      <c r="A252" s="61"/>
      <c r="B252" s="41" t="s">
        <v>5</v>
      </c>
      <c r="C252" s="39" t="s">
        <v>98</v>
      </c>
      <c r="D252" s="41" t="s">
        <v>24</v>
      </c>
      <c r="E252" s="17">
        <f>7/9*100</f>
        <v>77.777777777777786</v>
      </c>
      <c r="F252" s="17">
        <f>4/9*100</f>
        <v>44.444444444444443</v>
      </c>
      <c r="G252" s="45"/>
      <c r="H252" s="32"/>
    </row>
    <row r="253" spans="1:8" s="26" customFormat="1" x14ac:dyDescent="0.3">
      <c r="A253" s="61" t="s">
        <v>131</v>
      </c>
      <c r="B253" s="41" t="s">
        <v>6</v>
      </c>
      <c r="C253" s="39" t="s">
        <v>30</v>
      </c>
      <c r="D253" s="41" t="s">
        <v>31</v>
      </c>
      <c r="E253" s="17">
        <f>32000+15000+39400</f>
        <v>86400</v>
      </c>
      <c r="F253" s="17">
        <f>28000+15900+9000</f>
        <v>52900</v>
      </c>
      <c r="G253" s="45">
        <f t="shared" si="6"/>
        <v>0.61226851851851849</v>
      </c>
      <c r="H253" s="32"/>
    </row>
    <row r="254" spans="1:8" s="26" customFormat="1" ht="26.4" x14ac:dyDescent="0.3">
      <c r="A254" s="61"/>
      <c r="B254" s="41" t="s">
        <v>4</v>
      </c>
      <c r="C254" s="39" t="s">
        <v>95</v>
      </c>
      <c r="D254" s="41" t="s">
        <v>33</v>
      </c>
      <c r="E254" s="18">
        <v>4</v>
      </c>
      <c r="F254" s="18">
        <v>4</v>
      </c>
      <c r="G254" s="32"/>
      <c r="H254" s="32"/>
    </row>
    <row r="255" spans="1:8" s="26" customFormat="1" ht="26.4" x14ac:dyDescent="0.3">
      <c r="A255" s="61"/>
      <c r="B255" s="41" t="s">
        <v>7</v>
      </c>
      <c r="C255" s="39" t="s">
        <v>106</v>
      </c>
      <c r="D255" s="41" t="s">
        <v>46</v>
      </c>
      <c r="E255" s="17">
        <f>E253/E254</f>
        <v>21600</v>
      </c>
      <c r="F255" s="17">
        <f>F253/F254</f>
        <v>13225</v>
      </c>
      <c r="G255" s="32"/>
      <c r="H255" s="32"/>
    </row>
    <row r="256" spans="1:8" s="26" customFormat="1" ht="26.4" x14ac:dyDescent="0.3">
      <c r="A256" s="61"/>
      <c r="B256" s="41" t="s">
        <v>5</v>
      </c>
      <c r="C256" s="39" t="s">
        <v>98</v>
      </c>
      <c r="D256" s="41" t="s">
        <v>24</v>
      </c>
      <c r="E256" s="17">
        <f>E254/9*100</f>
        <v>44.444444444444443</v>
      </c>
      <c r="F256" s="17">
        <f>F254/9*100</f>
        <v>44.444444444444443</v>
      </c>
      <c r="G256" s="32"/>
      <c r="H256" s="32"/>
    </row>
    <row r="257" spans="1:8" s="26" customFormat="1" x14ac:dyDescent="0.3">
      <c r="A257" s="77" t="s">
        <v>132</v>
      </c>
      <c r="B257" s="78"/>
      <c r="C257" s="78"/>
      <c r="D257" s="78"/>
      <c r="E257" s="78"/>
      <c r="F257" s="78"/>
      <c r="G257" s="78"/>
      <c r="H257" s="79"/>
    </row>
    <row r="258" spans="1:8" s="49" customFormat="1" x14ac:dyDescent="0.3">
      <c r="A258" s="55" t="s">
        <v>133</v>
      </c>
      <c r="B258" s="48" t="s">
        <v>6</v>
      </c>
      <c r="C258" s="48" t="s">
        <v>30</v>
      </c>
      <c r="D258" s="48" t="s">
        <v>31</v>
      </c>
      <c r="E258" s="17">
        <f>E262</f>
        <v>16050000</v>
      </c>
      <c r="F258" s="16">
        <f>F262</f>
        <v>949184</v>
      </c>
      <c r="G258" s="24">
        <f>F258/E258</f>
        <v>5.9139190031152651E-2</v>
      </c>
      <c r="H258" s="48"/>
    </row>
    <row r="259" spans="1:8" s="26" customFormat="1" ht="39.6" x14ac:dyDescent="0.3">
      <c r="A259" s="56"/>
      <c r="B259" s="41" t="s">
        <v>4</v>
      </c>
      <c r="C259" s="39" t="s">
        <v>134</v>
      </c>
      <c r="D259" s="41" t="s">
        <v>49</v>
      </c>
      <c r="E259" s="17">
        <v>1757</v>
      </c>
      <c r="F259" s="17">
        <v>0</v>
      </c>
      <c r="G259" s="32"/>
      <c r="H259" s="32"/>
    </row>
    <row r="260" spans="1:8" s="26" customFormat="1" ht="26.4" x14ac:dyDescent="0.3">
      <c r="A260" s="56"/>
      <c r="B260" s="41" t="s">
        <v>7</v>
      </c>
      <c r="C260" s="39" t="s">
        <v>135</v>
      </c>
      <c r="D260" s="41" t="s">
        <v>31</v>
      </c>
      <c r="E260" s="17">
        <f>E258/E259</f>
        <v>9134.8890153671036</v>
      </c>
      <c r="F260" s="17">
        <f>F258</f>
        <v>949184</v>
      </c>
      <c r="G260" s="32"/>
      <c r="H260" s="32"/>
    </row>
    <row r="261" spans="1:8" s="26" customFormat="1" ht="26.4" x14ac:dyDescent="0.3">
      <c r="A261" s="57"/>
      <c r="B261" s="41" t="s">
        <v>5</v>
      </c>
      <c r="C261" s="39" t="s">
        <v>42</v>
      </c>
      <c r="D261" s="41" t="s">
        <v>24</v>
      </c>
      <c r="E261" s="17">
        <v>100</v>
      </c>
      <c r="F261" s="17">
        <v>0</v>
      </c>
      <c r="G261" s="32"/>
      <c r="H261" s="32"/>
    </row>
    <row r="262" spans="1:8" s="26" customFormat="1" x14ac:dyDescent="0.3">
      <c r="A262" s="76" t="s">
        <v>136</v>
      </c>
      <c r="B262" s="41" t="s">
        <v>6</v>
      </c>
      <c r="C262" s="39" t="s">
        <v>30</v>
      </c>
      <c r="D262" s="41" t="s">
        <v>31</v>
      </c>
      <c r="E262" s="17">
        <f>15000000+1050000</f>
        <v>16050000</v>
      </c>
      <c r="F262" s="17">
        <f>241882+707302</f>
        <v>949184</v>
      </c>
      <c r="G262" s="24">
        <f>F262/E262</f>
        <v>5.9139190031152651E-2</v>
      </c>
      <c r="H262" s="62" t="s">
        <v>137</v>
      </c>
    </row>
    <row r="263" spans="1:8" s="26" customFormat="1" ht="39.6" x14ac:dyDescent="0.3">
      <c r="A263" s="76"/>
      <c r="B263" s="62" t="s">
        <v>4</v>
      </c>
      <c r="C263" s="39" t="s">
        <v>138</v>
      </c>
      <c r="D263" s="41" t="s">
        <v>49</v>
      </c>
      <c r="E263" s="17">
        <v>1711</v>
      </c>
      <c r="F263" s="17">
        <v>0</v>
      </c>
      <c r="G263" s="32"/>
      <c r="H263" s="74"/>
    </row>
    <row r="264" spans="1:8" s="26" customFormat="1" ht="26.4" x14ac:dyDescent="0.3">
      <c r="A264" s="76"/>
      <c r="B264" s="74"/>
      <c r="C264" s="39" t="s">
        <v>70</v>
      </c>
      <c r="D264" s="41" t="s">
        <v>49</v>
      </c>
      <c r="E264" s="17">
        <v>46</v>
      </c>
      <c r="F264" s="17">
        <v>0</v>
      </c>
      <c r="G264" s="32"/>
      <c r="H264" s="74"/>
    </row>
    <row r="265" spans="1:8" s="26" customFormat="1" x14ac:dyDescent="0.3">
      <c r="A265" s="76"/>
      <c r="B265" s="63"/>
      <c r="C265" s="39" t="s">
        <v>69</v>
      </c>
      <c r="D265" s="41" t="s">
        <v>139</v>
      </c>
      <c r="E265" s="18">
        <v>1</v>
      </c>
      <c r="F265" s="19">
        <v>1</v>
      </c>
      <c r="G265" s="32"/>
      <c r="H265" s="74"/>
    </row>
    <row r="266" spans="1:8" s="26" customFormat="1" ht="26.4" x14ac:dyDescent="0.3">
      <c r="A266" s="76"/>
      <c r="B266" s="62" t="s">
        <v>7</v>
      </c>
      <c r="C266" s="39" t="s">
        <v>71</v>
      </c>
      <c r="D266" s="41" t="s">
        <v>31</v>
      </c>
      <c r="E266" s="17">
        <v>1050000</v>
      </c>
      <c r="F266" s="17">
        <v>707302</v>
      </c>
      <c r="G266" s="32"/>
      <c r="H266" s="74"/>
    </row>
    <row r="267" spans="1:8" s="26" customFormat="1" ht="26.4" x14ac:dyDescent="0.3">
      <c r="A267" s="76"/>
      <c r="B267" s="74"/>
      <c r="C267" s="39" t="s">
        <v>72</v>
      </c>
      <c r="D267" s="41" t="s">
        <v>53</v>
      </c>
      <c r="E267" s="17">
        <v>7000</v>
      </c>
      <c r="F267" s="17">
        <v>0</v>
      </c>
      <c r="G267" s="32"/>
      <c r="H267" s="74"/>
    </row>
    <row r="268" spans="1:8" s="26" customFormat="1" ht="26.4" x14ac:dyDescent="0.3">
      <c r="A268" s="76"/>
      <c r="B268" s="63"/>
      <c r="C268" s="39" t="s">
        <v>79</v>
      </c>
      <c r="D268" s="41" t="s">
        <v>53</v>
      </c>
      <c r="E268" s="17">
        <f>(E262-E266-E264*E267)/E263</f>
        <v>8578.6090005844544</v>
      </c>
      <c r="F268" s="17">
        <v>0</v>
      </c>
      <c r="G268" s="32"/>
      <c r="H268" s="74"/>
    </row>
    <row r="269" spans="1:8" s="26" customFormat="1" ht="19.2" customHeight="1" x14ac:dyDescent="0.3">
      <c r="A269" s="76"/>
      <c r="B269" s="86" t="s">
        <v>5</v>
      </c>
      <c r="C269" s="39" t="s">
        <v>140</v>
      </c>
      <c r="D269" s="41" t="s">
        <v>24</v>
      </c>
      <c r="E269" s="17">
        <v>100</v>
      </c>
      <c r="F269" s="17">
        <v>100</v>
      </c>
      <c r="G269" s="32"/>
      <c r="H269" s="74"/>
    </row>
    <row r="270" spans="1:8" s="26" customFormat="1" ht="26.4" x14ac:dyDescent="0.3">
      <c r="A270" s="76"/>
      <c r="B270" s="86"/>
      <c r="C270" s="39" t="s">
        <v>80</v>
      </c>
      <c r="D270" s="41" t="s">
        <v>24</v>
      </c>
      <c r="E270" s="17">
        <v>100</v>
      </c>
      <c r="F270" s="17">
        <v>0</v>
      </c>
      <c r="G270" s="32"/>
      <c r="H270" s="74"/>
    </row>
    <row r="271" spans="1:8" s="26" customFormat="1" ht="26.4" x14ac:dyDescent="0.3">
      <c r="A271" s="76"/>
      <c r="B271" s="86"/>
      <c r="C271" s="39" t="s">
        <v>74</v>
      </c>
      <c r="D271" s="41" t="s">
        <v>24</v>
      </c>
      <c r="E271" s="17">
        <v>100</v>
      </c>
      <c r="F271" s="17">
        <v>0</v>
      </c>
      <c r="G271" s="32"/>
      <c r="H271" s="63"/>
    </row>
    <row r="272" spans="1:8" s="26" customFormat="1" ht="14.4" customHeight="1" x14ac:dyDescent="0.3">
      <c r="A272" s="90" t="s">
        <v>240</v>
      </c>
      <c r="B272" s="91"/>
      <c r="C272" s="91"/>
      <c r="D272" s="91"/>
      <c r="E272" s="91"/>
      <c r="F272" s="91"/>
      <c r="G272" s="91"/>
      <c r="H272" s="92"/>
    </row>
    <row r="273" spans="1:8" s="26" customFormat="1" ht="14.4" customHeight="1" x14ac:dyDescent="0.3">
      <c r="A273" s="80" t="s">
        <v>241</v>
      </c>
      <c r="B273" s="41" t="s">
        <v>6</v>
      </c>
      <c r="C273" s="39" t="s">
        <v>30</v>
      </c>
      <c r="D273" s="41" t="s">
        <v>31</v>
      </c>
      <c r="E273" s="12">
        <f>E277</f>
        <v>26000</v>
      </c>
      <c r="F273" s="12">
        <f>F277</f>
        <v>19800</v>
      </c>
      <c r="G273" s="28">
        <f>F273/E273</f>
        <v>0.7615384615384615</v>
      </c>
      <c r="H273" s="30"/>
    </row>
    <row r="274" spans="1:8" s="26" customFormat="1" ht="28.2" customHeight="1" x14ac:dyDescent="0.3">
      <c r="A274" s="80"/>
      <c r="B274" s="41" t="s">
        <v>4</v>
      </c>
      <c r="C274" s="39" t="s">
        <v>242</v>
      </c>
      <c r="D274" s="41" t="s">
        <v>49</v>
      </c>
      <c r="E274" s="12">
        <v>2.5</v>
      </c>
      <c r="F274" s="12">
        <v>1.8</v>
      </c>
      <c r="G274" s="30"/>
      <c r="H274" s="30"/>
    </row>
    <row r="275" spans="1:8" s="26" customFormat="1" ht="25.8" customHeight="1" x14ac:dyDescent="0.3">
      <c r="A275" s="80"/>
      <c r="B275" s="41" t="s">
        <v>7</v>
      </c>
      <c r="C275" s="39" t="s">
        <v>243</v>
      </c>
      <c r="D275" s="41" t="s">
        <v>53</v>
      </c>
      <c r="E275" s="12">
        <f>E273/E274</f>
        <v>10400</v>
      </c>
      <c r="F275" s="12">
        <f>F273/F274</f>
        <v>11000</v>
      </c>
      <c r="G275" s="30"/>
      <c r="H275" s="30"/>
    </row>
    <row r="276" spans="1:8" s="26" customFormat="1" ht="28.8" customHeight="1" x14ac:dyDescent="0.3">
      <c r="A276" s="80"/>
      <c r="B276" s="41" t="s">
        <v>5</v>
      </c>
      <c r="C276" s="39" t="s">
        <v>244</v>
      </c>
      <c r="D276" s="41" t="s">
        <v>24</v>
      </c>
      <c r="E276" s="12">
        <v>25</v>
      </c>
      <c r="F276" s="12">
        <v>18</v>
      </c>
      <c r="G276" s="30"/>
      <c r="H276" s="30"/>
    </row>
    <row r="277" spans="1:8" s="26" customFormat="1" ht="14.4" customHeight="1" x14ac:dyDescent="0.3">
      <c r="A277" s="61" t="s">
        <v>266</v>
      </c>
      <c r="B277" s="62" t="s">
        <v>6</v>
      </c>
      <c r="C277" s="39" t="s">
        <v>30</v>
      </c>
      <c r="D277" s="41" t="s">
        <v>31</v>
      </c>
      <c r="E277" s="12">
        <v>26000</v>
      </c>
      <c r="F277" s="12">
        <v>19800</v>
      </c>
      <c r="G277" s="28">
        <f>F277/E277</f>
        <v>0.7615384615384615</v>
      </c>
      <c r="H277" s="30"/>
    </row>
    <row r="278" spans="1:8" s="26" customFormat="1" ht="15" customHeight="1" x14ac:dyDescent="0.3">
      <c r="A278" s="61"/>
      <c r="B278" s="63"/>
      <c r="C278" s="39" t="s">
        <v>245</v>
      </c>
      <c r="D278" s="41" t="s">
        <v>49</v>
      </c>
      <c r="E278" s="12">
        <v>10</v>
      </c>
      <c r="F278" s="12">
        <v>10</v>
      </c>
      <c r="G278" s="30"/>
      <c r="H278" s="30"/>
    </row>
    <row r="279" spans="1:8" s="26" customFormat="1" ht="30.6" customHeight="1" x14ac:dyDescent="0.3">
      <c r="A279" s="61"/>
      <c r="B279" s="41" t="s">
        <v>4</v>
      </c>
      <c r="C279" s="39" t="s">
        <v>242</v>
      </c>
      <c r="D279" s="41" t="s">
        <v>49</v>
      </c>
      <c r="E279" s="41">
        <v>2.5</v>
      </c>
      <c r="F279" s="12">
        <v>1.8</v>
      </c>
      <c r="G279" s="30"/>
      <c r="H279" s="30"/>
    </row>
    <row r="280" spans="1:8" s="26" customFormat="1" ht="27" customHeight="1" x14ac:dyDescent="0.3">
      <c r="A280" s="61"/>
      <c r="B280" s="41" t="s">
        <v>7</v>
      </c>
      <c r="C280" s="39" t="s">
        <v>209</v>
      </c>
      <c r="D280" s="41" t="s">
        <v>53</v>
      </c>
      <c r="E280" s="12">
        <f>E277/E279</f>
        <v>10400</v>
      </c>
      <c r="F280" s="12">
        <f>F277/F279</f>
        <v>11000</v>
      </c>
      <c r="G280" s="30"/>
      <c r="H280" s="30"/>
    </row>
    <row r="281" spans="1:8" s="26" customFormat="1" ht="27" customHeight="1" x14ac:dyDescent="0.3">
      <c r="A281" s="61"/>
      <c r="B281" s="41" t="s">
        <v>5</v>
      </c>
      <c r="C281" s="39" t="s">
        <v>244</v>
      </c>
      <c r="D281" s="41" t="s">
        <v>24</v>
      </c>
      <c r="E281" s="12">
        <v>25</v>
      </c>
      <c r="F281" s="12">
        <v>18</v>
      </c>
      <c r="G281" s="30"/>
      <c r="H281" s="30"/>
    </row>
    <row r="282" spans="1:8" s="26" customFormat="1" ht="14.4" customHeight="1" x14ac:dyDescent="0.3">
      <c r="A282" s="80" t="s">
        <v>246</v>
      </c>
      <c r="B282" s="41" t="s">
        <v>6</v>
      </c>
      <c r="C282" s="39" t="s">
        <v>30</v>
      </c>
      <c r="D282" s="41" t="s">
        <v>31</v>
      </c>
      <c r="E282" s="12">
        <f>E286</f>
        <v>70000</v>
      </c>
      <c r="F282" s="12">
        <f>F286</f>
        <v>42494.04</v>
      </c>
      <c r="G282" s="28">
        <f>F282/E282</f>
        <v>0.60705771428571431</v>
      </c>
      <c r="H282" s="30"/>
    </row>
    <row r="283" spans="1:8" s="26" customFormat="1" ht="35.4" customHeight="1" x14ac:dyDescent="0.3">
      <c r="A283" s="80"/>
      <c r="B283" s="41" t="s">
        <v>4</v>
      </c>
      <c r="C283" s="39" t="s">
        <v>247</v>
      </c>
      <c r="D283" s="41" t="s">
        <v>139</v>
      </c>
      <c r="E283" s="14">
        <v>177</v>
      </c>
      <c r="F283" s="41">
        <v>180</v>
      </c>
      <c r="G283" s="30"/>
      <c r="H283" s="30"/>
    </row>
    <row r="284" spans="1:8" s="26" customFormat="1" ht="23.4" customHeight="1" x14ac:dyDescent="0.3">
      <c r="A284" s="80"/>
      <c r="B284" s="41" t="s">
        <v>7</v>
      </c>
      <c r="C284" s="39" t="s">
        <v>248</v>
      </c>
      <c r="D284" s="41" t="s">
        <v>249</v>
      </c>
      <c r="E284" s="12">
        <f>E282/E283</f>
        <v>395.48022598870057</v>
      </c>
      <c r="F284" s="12">
        <f>F282/F283</f>
        <v>236.078</v>
      </c>
      <c r="G284" s="30"/>
      <c r="H284" s="30"/>
    </row>
    <row r="285" spans="1:8" s="26" customFormat="1" ht="14.4" customHeight="1" x14ac:dyDescent="0.3">
      <c r="A285" s="80"/>
      <c r="B285" s="41" t="s">
        <v>5</v>
      </c>
      <c r="C285" s="39" t="s">
        <v>250</v>
      </c>
      <c r="D285" s="41" t="s">
        <v>24</v>
      </c>
      <c r="E285" s="12">
        <v>100</v>
      </c>
      <c r="F285" s="12">
        <v>100</v>
      </c>
      <c r="G285" s="30"/>
      <c r="H285" s="30"/>
    </row>
    <row r="286" spans="1:8" s="26" customFormat="1" ht="19.2" customHeight="1" x14ac:dyDescent="0.3">
      <c r="A286" s="61" t="s">
        <v>267</v>
      </c>
      <c r="B286" s="62" t="s">
        <v>6</v>
      </c>
      <c r="C286" s="39" t="s">
        <v>30</v>
      </c>
      <c r="D286" s="41" t="s">
        <v>31</v>
      </c>
      <c r="E286" s="27">
        <v>70000</v>
      </c>
      <c r="F286" s="12">
        <v>42494.04</v>
      </c>
      <c r="G286" s="28">
        <f>F286/E286</f>
        <v>0.60705771428571431</v>
      </c>
      <c r="H286" s="30"/>
    </row>
    <row r="287" spans="1:8" s="26" customFormat="1" ht="19.2" customHeight="1" x14ac:dyDescent="0.3">
      <c r="A287" s="61"/>
      <c r="B287" s="63"/>
      <c r="C287" s="39" t="s">
        <v>251</v>
      </c>
      <c r="D287" s="41" t="s">
        <v>139</v>
      </c>
      <c r="E287" s="31">
        <v>177</v>
      </c>
      <c r="F287" s="41">
        <v>180</v>
      </c>
      <c r="G287" s="30"/>
      <c r="H287" s="30"/>
    </row>
    <row r="288" spans="1:8" s="26" customFormat="1" ht="28.2" customHeight="1" x14ac:dyDescent="0.3">
      <c r="A288" s="61"/>
      <c r="B288" s="41" t="s">
        <v>4</v>
      </c>
      <c r="C288" s="39" t="s">
        <v>247</v>
      </c>
      <c r="D288" s="41" t="s">
        <v>139</v>
      </c>
      <c r="E288" s="31">
        <v>177</v>
      </c>
      <c r="F288" s="41">
        <v>180</v>
      </c>
      <c r="G288" s="30"/>
      <c r="H288" s="30"/>
    </row>
    <row r="289" spans="1:8" s="26" customFormat="1" ht="30" customHeight="1" x14ac:dyDescent="0.3">
      <c r="A289" s="61"/>
      <c r="B289" s="41" t="s">
        <v>7</v>
      </c>
      <c r="C289" s="39" t="s">
        <v>252</v>
      </c>
      <c r="D289" s="41" t="s">
        <v>249</v>
      </c>
      <c r="E289" s="29">
        <f>E286/E288</f>
        <v>395.48022598870057</v>
      </c>
      <c r="F289" s="12">
        <f>F286/F288</f>
        <v>236.078</v>
      </c>
      <c r="G289" s="30"/>
      <c r="H289" s="30"/>
    </row>
    <row r="290" spans="1:8" s="26" customFormat="1" ht="31.2" customHeight="1" x14ac:dyDescent="0.3">
      <c r="A290" s="61"/>
      <c r="B290" s="41" t="s">
        <v>5</v>
      </c>
      <c r="C290" s="39" t="s">
        <v>253</v>
      </c>
      <c r="D290" s="41" t="s">
        <v>24</v>
      </c>
      <c r="E290" s="29">
        <v>100</v>
      </c>
      <c r="F290" s="12">
        <v>100</v>
      </c>
      <c r="G290" s="30"/>
      <c r="H290" s="30"/>
    </row>
    <row r="291" spans="1:8" s="26" customFormat="1" x14ac:dyDescent="0.3">
      <c r="A291" s="87" t="s">
        <v>141</v>
      </c>
      <c r="B291" s="88"/>
      <c r="C291" s="88"/>
      <c r="D291" s="88"/>
      <c r="E291" s="88"/>
      <c r="F291" s="88"/>
      <c r="G291" s="88"/>
      <c r="H291" s="89"/>
    </row>
    <row r="292" spans="1:8" s="26" customFormat="1" x14ac:dyDescent="0.3">
      <c r="A292" s="80" t="s">
        <v>142</v>
      </c>
      <c r="B292" s="41" t="s">
        <v>6</v>
      </c>
      <c r="C292" s="39" t="s">
        <v>30</v>
      </c>
      <c r="D292" s="41" t="s">
        <v>31</v>
      </c>
      <c r="E292" s="17">
        <f>E296</f>
        <v>30500000</v>
      </c>
      <c r="F292" s="17">
        <f>F296</f>
        <v>13731447.050000001</v>
      </c>
      <c r="G292" s="24">
        <f>F292/E292</f>
        <v>0.45021137868852462</v>
      </c>
      <c r="H292" s="25"/>
    </row>
    <row r="293" spans="1:8" s="26" customFormat="1" x14ac:dyDescent="0.3">
      <c r="A293" s="80"/>
      <c r="B293" s="41" t="s">
        <v>4</v>
      </c>
      <c r="C293" s="39" t="s">
        <v>65</v>
      </c>
      <c r="D293" s="41" t="s">
        <v>49</v>
      </c>
      <c r="E293" s="17">
        <f>E298</f>
        <v>1700</v>
      </c>
      <c r="F293" s="17">
        <f>F298</f>
        <v>1590</v>
      </c>
      <c r="G293" s="24"/>
      <c r="H293" s="25"/>
    </row>
    <row r="294" spans="1:8" s="26" customFormat="1" x14ac:dyDescent="0.3">
      <c r="A294" s="80"/>
      <c r="B294" s="41" t="s">
        <v>7</v>
      </c>
      <c r="C294" s="39" t="s">
        <v>66</v>
      </c>
      <c r="D294" s="41" t="s">
        <v>53</v>
      </c>
      <c r="E294" s="17">
        <f>E292/E293</f>
        <v>17941.176470588234</v>
      </c>
      <c r="F294" s="17">
        <f>F292/F293</f>
        <v>8636.1302201257859</v>
      </c>
      <c r="G294" s="24"/>
      <c r="H294" s="25"/>
    </row>
    <row r="295" spans="1:8" s="26" customFormat="1" ht="26.4" x14ac:dyDescent="0.3">
      <c r="A295" s="80"/>
      <c r="B295" s="41" t="s">
        <v>5</v>
      </c>
      <c r="C295" s="39" t="s">
        <v>143</v>
      </c>
      <c r="D295" s="41" t="s">
        <v>24</v>
      </c>
      <c r="E295" s="17">
        <f>E300</f>
        <v>100</v>
      </c>
      <c r="F295" s="24">
        <f>F300</f>
        <v>0.93529411764705883</v>
      </c>
      <c r="G295" s="24"/>
      <c r="H295" s="25"/>
    </row>
    <row r="296" spans="1:8" s="26" customFormat="1" x14ac:dyDescent="0.3">
      <c r="A296" s="61" t="s">
        <v>144</v>
      </c>
      <c r="B296" s="86" t="s">
        <v>6</v>
      </c>
      <c r="C296" s="39" t="s">
        <v>30</v>
      </c>
      <c r="D296" s="41" t="s">
        <v>31</v>
      </c>
      <c r="E296" s="17">
        <f>10000000+20500000</f>
        <v>30500000</v>
      </c>
      <c r="F296" s="17">
        <f>7178726.87+6552720.18</f>
        <v>13731447.050000001</v>
      </c>
      <c r="G296" s="24">
        <f t="shared" ref="G296" si="7">F296/E296</f>
        <v>0.45021137868852462</v>
      </c>
      <c r="H296" s="25"/>
    </row>
    <row r="297" spans="1:8" s="26" customFormat="1" x14ac:dyDescent="0.3">
      <c r="A297" s="61"/>
      <c r="B297" s="86"/>
      <c r="C297" s="39" t="s">
        <v>64</v>
      </c>
      <c r="D297" s="41" t="s">
        <v>49</v>
      </c>
      <c r="E297" s="17">
        <v>1700</v>
      </c>
      <c r="F297" s="17">
        <v>1700</v>
      </c>
      <c r="G297" s="25"/>
      <c r="H297" s="25"/>
    </row>
    <row r="298" spans="1:8" s="26" customFormat="1" x14ac:dyDescent="0.3">
      <c r="A298" s="61"/>
      <c r="B298" s="41" t="s">
        <v>4</v>
      </c>
      <c r="C298" s="39" t="s">
        <v>65</v>
      </c>
      <c r="D298" s="41" t="s">
        <v>49</v>
      </c>
      <c r="E298" s="17">
        <f>610+1090</f>
        <v>1700</v>
      </c>
      <c r="F298" s="17">
        <f>500+1090</f>
        <v>1590</v>
      </c>
      <c r="G298" s="25"/>
      <c r="H298" s="25"/>
    </row>
    <row r="299" spans="1:8" s="26" customFormat="1" ht="26.4" x14ac:dyDescent="0.3">
      <c r="A299" s="61"/>
      <c r="B299" s="41" t="s">
        <v>7</v>
      </c>
      <c r="C299" s="39" t="s">
        <v>145</v>
      </c>
      <c r="D299" s="41" t="s">
        <v>53</v>
      </c>
      <c r="E299" s="17">
        <f>E296/E298</f>
        <v>17941.176470588234</v>
      </c>
      <c r="F299" s="17">
        <f>F296/F298</f>
        <v>8636.1302201257859</v>
      </c>
      <c r="G299" s="25"/>
      <c r="H299" s="25"/>
    </row>
    <row r="300" spans="1:8" s="26" customFormat="1" ht="26.4" x14ac:dyDescent="0.3">
      <c r="A300" s="61"/>
      <c r="B300" s="41" t="s">
        <v>5</v>
      </c>
      <c r="C300" s="39" t="s">
        <v>143</v>
      </c>
      <c r="D300" s="41" t="s">
        <v>24</v>
      </c>
      <c r="E300" s="17">
        <v>100</v>
      </c>
      <c r="F300" s="24">
        <f>F298/F297</f>
        <v>0.93529411764705883</v>
      </c>
      <c r="G300" s="25"/>
      <c r="H300" s="25"/>
    </row>
    <row r="301" spans="1:8" s="26" customFormat="1" x14ac:dyDescent="0.3">
      <c r="A301" s="88" t="s">
        <v>146</v>
      </c>
      <c r="B301" s="88"/>
      <c r="C301" s="88"/>
      <c r="D301" s="88"/>
      <c r="E301" s="88"/>
      <c r="F301" s="88"/>
      <c r="G301" s="88"/>
      <c r="H301" s="89"/>
    </row>
    <row r="302" spans="1:8" s="49" customFormat="1" x14ac:dyDescent="0.3">
      <c r="A302" s="84" t="s">
        <v>147</v>
      </c>
      <c r="B302" s="48" t="s">
        <v>6</v>
      </c>
      <c r="C302" s="48" t="s">
        <v>30</v>
      </c>
      <c r="D302" s="48" t="s">
        <v>31</v>
      </c>
      <c r="E302" s="17">
        <f>E310+E306</f>
        <v>250000</v>
      </c>
      <c r="F302" s="17">
        <f>F310+F306</f>
        <v>194476</v>
      </c>
      <c r="G302" s="24">
        <f>F302/E302</f>
        <v>0.77790400000000004</v>
      </c>
      <c r="H302" s="48"/>
    </row>
    <row r="303" spans="1:8" s="26" customFormat="1" ht="52.8" x14ac:dyDescent="0.3">
      <c r="A303" s="84"/>
      <c r="B303" s="41" t="s">
        <v>4</v>
      </c>
      <c r="C303" s="39" t="s">
        <v>148</v>
      </c>
      <c r="D303" s="41" t="s">
        <v>33</v>
      </c>
      <c r="E303" s="18">
        <v>3</v>
      </c>
      <c r="F303" s="18">
        <v>3</v>
      </c>
      <c r="G303" s="24"/>
      <c r="H303" s="25"/>
    </row>
    <row r="304" spans="1:8" s="26" customFormat="1" ht="19.2" customHeight="1" x14ac:dyDescent="0.3">
      <c r="A304" s="84"/>
      <c r="B304" s="41" t="s">
        <v>7</v>
      </c>
      <c r="C304" s="39" t="s">
        <v>149</v>
      </c>
      <c r="D304" s="41" t="s">
        <v>31</v>
      </c>
      <c r="E304" s="17">
        <f>E302/E303</f>
        <v>83333.333333333328</v>
      </c>
      <c r="F304" s="17">
        <f>F302/F303</f>
        <v>64825.333333333336</v>
      </c>
      <c r="G304" s="24"/>
      <c r="H304" s="25"/>
    </row>
    <row r="305" spans="1:8" s="26" customFormat="1" ht="26.4" x14ac:dyDescent="0.3">
      <c r="A305" s="85"/>
      <c r="B305" s="41" t="s">
        <v>5</v>
      </c>
      <c r="C305" s="39" t="s">
        <v>150</v>
      </c>
      <c r="D305" s="41" t="s">
        <v>33</v>
      </c>
      <c r="E305" s="18">
        <v>91</v>
      </c>
      <c r="F305" s="18">
        <v>91</v>
      </c>
      <c r="G305" s="24"/>
      <c r="H305" s="25"/>
    </row>
    <row r="306" spans="1:8" s="26" customFormat="1" x14ac:dyDescent="0.3">
      <c r="A306" s="61" t="s">
        <v>254</v>
      </c>
      <c r="B306" s="41" t="s">
        <v>6</v>
      </c>
      <c r="C306" s="39" t="s">
        <v>30</v>
      </c>
      <c r="D306" s="41" t="s">
        <v>31</v>
      </c>
      <c r="E306" s="17">
        <f>75000+75000</f>
        <v>150000</v>
      </c>
      <c r="F306" s="17">
        <f>59376+49900</f>
        <v>109276</v>
      </c>
      <c r="G306" s="24">
        <f>F306/E306</f>
        <v>0.72850666666666664</v>
      </c>
      <c r="H306" s="25"/>
    </row>
    <row r="307" spans="1:8" s="26" customFormat="1" ht="66" x14ac:dyDescent="0.3">
      <c r="A307" s="61"/>
      <c r="B307" s="41" t="s">
        <v>4</v>
      </c>
      <c r="C307" s="39" t="s">
        <v>255</v>
      </c>
      <c r="D307" s="41" t="s">
        <v>33</v>
      </c>
      <c r="E307" s="18">
        <v>2</v>
      </c>
      <c r="F307" s="18">
        <v>2</v>
      </c>
      <c r="G307" s="24"/>
      <c r="H307" s="25"/>
    </row>
    <row r="308" spans="1:8" s="26" customFormat="1" ht="18.600000000000001" customHeight="1" x14ac:dyDescent="0.3">
      <c r="A308" s="61"/>
      <c r="B308" s="41" t="s">
        <v>7</v>
      </c>
      <c r="C308" s="39" t="s">
        <v>149</v>
      </c>
      <c r="D308" s="41" t="s">
        <v>31</v>
      </c>
      <c r="E308" s="17">
        <f>E306/E307</f>
        <v>75000</v>
      </c>
      <c r="F308" s="17">
        <f>F306/F307</f>
        <v>54638</v>
      </c>
      <c r="G308" s="24"/>
      <c r="H308" s="25"/>
    </row>
    <row r="309" spans="1:8" s="26" customFormat="1" ht="26.4" x14ac:dyDescent="0.3">
      <c r="A309" s="61"/>
      <c r="B309" s="41" t="s">
        <v>5</v>
      </c>
      <c r="C309" s="39" t="s">
        <v>150</v>
      </c>
      <c r="D309" s="41" t="s">
        <v>33</v>
      </c>
      <c r="E309" s="18">
        <v>85</v>
      </c>
      <c r="F309" s="18">
        <v>85</v>
      </c>
      <c r="G309" s="24"/>
      <c r="H309" s="25"/>
    </row>
    <row r="310" spans="1:8" s="26" customFormat="1" x14ac:dyDescent="0.3">
      <c r="A310" s="61" t="s">
        <v>151</v>
      </c>
      <c r="B310" s="41" t="s">
        <v>6</v>
      </c>
      <c r="C310" s="39" t="s">
        <v>30</v>
      </c>
      <c r="D310" s="41" t="s">
        <v>31</v>
      </c>
      <c r="E310" s="17">
        <v>100000</v>
      </c>
      <c r="F310" s="17">
        <v>85200</v>
      </c>
      <c r="G310" s="24">
        <f>F310/E310</f>
        <v>0.85199999999999998</v>
      </c>
      <c r="H310" s="25"/>
    </row>
    <row r="311" spans="1:8" s="26" customFormat="1" ht="66" x14ac:dyDescent="0.3">
      <c r="A311" s="61"/>
      <c r="B311" s="41" t="s">
        <v>4</v>
      </c>
      <c r="C311" s="39" t="s">
        <v>152</v>
      </c>
      <c r="D311" s="41" t="s">
        <v>33</v>
      </c>
      <c r="E311" s="18">
        <v>1</v>
      </c>
      <c r="F311" s="18">
        <v>1</v>
      </c>
      <c r="G311" s="24"/>
      <c r="H311" s="25"/>
    </row>
    <row r="312" spans="1:8" s="26" customFormat="1" ht="26.4" x14ac:dyDescent="0.3">
      <c r="A312" s="61"/>
      <c r="B312" s="41" t="s">
        <v>7</v>
      </c>
      <c r="C312" s="39" t="s">
        <v>149</v>
      </c>
      <c r="D312" s="41" t="s">
        <v>31</v>
      </c>
      <c r="E312" s="17">
        <f>E310/E311</f>
        <v>100000</v>
      </c>
      <c r="F312" s="17">
        <f>F310/F311</f>
        <v>85200</v>
      </c>
      <c r="G312" s="24"/>
      <c r="H312" s="25"/>
    </row>
    <row r="313" spans="1:8" s="26" customFormat="1" ht="26.4" x14ac:dyDescent="0.3">
      <c r="A313" s="61"/>
      <c r="B313" s="41" t="s">
        <v>5</v>
      </c>
      <c r="C313" s="39" t="s">
        <v>150</v>
      </c>
      <c r="D313" s="41" t="s">
        <v>33</v>
      </c>
      <c r="E313" s="18">
        <v>91</v>
      </c>
      <c r="F313" s="18">
        <v>91</v>
      </c>
      <c r="G313" s="24"/>
      <c r="H313" s="25"/>
    </row>
    <row r="314" spans="1:8" s="49" customFormat="1" x14ac:dyDescent="0.3">
      <c r="A314" s="55" t="s">
        <v>153</v>
      </c>
      <c r="B314" s="41" t="s">
        <v>6</v>
      </c>
      <c r="C314" s="39" t="s">
        <v>30</v>
      </c>
      <c r="D314" s="41" t="s">
        <v>31</v>
      </c>
      <c r="E314" s="17">
        <f>E318</f>
        <v>200000</v>
      </c>
      <c r="F314" s="17">
        <f>F318</f>
        <v>200000</v>
      </c>
      <c r="G314" s="24">
        <f t="shared" ref="G314:G365" si="8">F314/E314</f>
        <v>1</v>
      </c>
      <c r="H314" s="50"/>
    </row>
    <row r="315" spans="1:8" s="26" customFormat="1" ht="21" customHeight="1" x14ac:dyDescent="0.3">
      <c r="A315" s="56"/>
      <c r="B315" s="41" t="s">
        <v>4</v>
      </c>
      <c r="C315" s="39" t="s">
        <v>154</v>
      </c>
      <c r="D315" s="41" t="s">
        <v>33</v>
      </c>
      <c r="E315" s="18">
        <v>3</v>
      </c>
      <c r="F315" s="18">
        <v>3</v>
      </c>
      <c r="G315" s="24"/>
      <c r="H315" s="25"/>
    </row>
    <row r="316" spans="1:8" s="26" customFormat="1" ht="18.75" customHeight="1" x14ac:dyDescent="0.3">
      <c r="A316" s="56"/>
      <c r="B316" s="41" t="s">
        <v>7</v>
      </c>
      <c r="C316" s="39" t="s">
        <v>155</v>
      </c>
      <c r="D316" s="41" t="s">
        <v>31</v>
      </c>
      <c r="E316" s="17">
        <f>E314/E315</f>
        <v>66666.666666666672</v>
      </c>
      <c r="F316" s="17">
        <f>F314/F315</f>
        <v>66666.666666666672</v>
      </c>
      <c r="G316" s="24"/>
      <c r="H316" s="25"/>
    </row>
    <row r="317" spans="1:8" s="26" customFormat="1" ht="21" customHeight="1" x14ac:dyDescent="0.3">
      <c r="A317" s="57"/>
      <c r="B317" s="41" t="s">
        <v>5</v>
      </c>
      <c r="C317" s="39" t="s">
        <v>156</v>
      </c>
      <c r="D317" s="41" t="s">
        <v>24</v>
      </c>
      <c r="E317" s="17">
        <v>100</v>
      </c>
      <c r="F317" s="17">
        <v>100</v>
      </c>
      <c r="G317" s="24"/>
      <c r="H317" s="25"/>
    </row>
    <row r="318" spans="1:8" s="26" customFormat="1" ht="19.5" customHeight="1" x14ac:dyDescent="0.3">
      <c r="A318" s="61" t="s">
        <v>157</v>
      </c>
      <c r="B318" s="41" t="s">
        <v>6</v>
      </c>
      <c r="C318" s="39" t="s">
        <v>30</v>
      </c>
      <c r="D318" s="41" t="s">
        <v>31</v>
      </c>
      <c r="E318" s="17">
        <f>100000+50000*2</f>
        <v>200000</v>
      </c>
      <c r="F318" s="17">
        <f>50000+50000+100000</f>
        <v>200000</v>
      </c>
      <c r="G318" s="24">
        <f t="shared" si="8"/>
        <v>1</v>
      </c>
      <c r="H318" s="25"/>
    </row>
    <row r="319" spans="1:8" s="26" customFormat="1" ht="18.75" customHeight="1" x14ac:dyDescent="0.3">
      <c r="A319" s="61"/>
      <c r="B319" s="41" t="s">
        <v>4</v>
      </c>
      <c r="C319" s="39" t="s">
        <v>154</v>
      </c>
      <c r="D319" s="41" t="s">
        <v>33</v>
      </c>
      <c r="E319" s="18">
        <v>3</v>
      </c>
      <c r="F319" s="18">
        <v>3</v>
      </c>
      <c r="G319" s="24"/>
      <c r="H319" s="25"/>
    </row>
    <row r="320" spans="1:8" s="26" customFormat="1" x14ac:dyDescent="0.3">
      <c r="A320" s="61"/>
      <c r="B320" s="41" t="s">
        <v>7</v>
      </c>
      <c r="C320" s="39" t="s">
        <v>155</v>
      </c>
      <c r="D320" s="41" t="s">
        <v>31</v>
      </c>
      <c r="E320" s="17">
        <f>E318/E319</f>
        <v>66666.666666666672</v>
      </c>
      <c r="F320" s="17">
        <f>F318/F319</f>
        <v>66666.666666666672</v>
      </c>
      <c r="G320" s="24"/>
      <c r="H320" s="25"/>
    </row>
    <row r="321" spans="1:9" s="26" customFormat="1" x14ac:dyDescent="0.3">
      <c r="A321" s="61"/>
      <c r="B321" s="41" t="s">
        <v>5</v>
      </c>
      <c r="C321" s="39" t="s">
        <v>156</v>
      </c>
      <c r="D321" s="41" t="s">
        <v>24</v>
      </c>
      <c r="E321" s="17">
        <v>100</v>
      </c>
      <c r="F321" s="17">
        <v>100</v>
      </c>
      <c r="G321" s="24"/>
      <c r="H321" s="25"/>
    </row>
    <row r="322" spans="1:9" s="49" customFormat="1" x14ac:dyDescent="0.3">
      <c r="A322" s="55" t="s">
        <v>158</v>
      </c>
      <c r="B322" s="41" t="s">
        <v>6</v>
      </c>
      <c r="C322" s="39" t="s">
        <v>30</v>
      </c>
      <c r="D322" s="41" t="s">
        <v>31</v>
      </c>
      <c r="E322" s="17">
        <f>E326+E330+E337</f>
        <v>390499</v>
      </c>
      <c r="F322" s="17">
        <f>F326+F337+F330</f>
        <v>195400</v>
      </c>
      <c r="G322" s="24">
        <f t="shared" si="8"/>
        <v>0.50038540431601619</v>
      </c>
      <c r="H322" s="50"/>
    </row>
    <row r="323" spans="1:9" s="26" customFormat="1" ht="15" customHeight="1" x14ac:dyDescent="0.3">
      <c r="A323" s="56"/>
      <c r="B323" s="41" t="s">
        <v>4</v>
      </c>
      <c r="C323" s="39" t="s">
        <v>159</v>
      </c>
      <c r="D323" s="41" t="s">
        <v>33</v>
      </c>
      <c r="E323" s="18">
        <v>3</v>
      </c>
      <c r="F323" s="19">
        <v>2</v>
      </c>
      <c r="G323" s="24"/>
      <c r="H323" s="25"/>
    </row>
    <row r="324" spans="1:9" s="26" customFormat="1" x14ac:dyDescent="0.3">
      <c r="A324" s="56"/>
      <c r="B324" s="41" t="s">
        <v>7</v>
      </c>
      <c r="C324" s="39" t="s">
        <v>160</v>
      </c>
      <c r="D324" s="41" t="s">
        <v>31</v>
      </c>
      <c r="E324" s="17">
        <f>E322/E323</f>
        <v>130166.33333333333</v>
      </c>
      <c r="F324" s="17">
        <f>F322/F323</f>
        <v>97700</v>
      </c>
      <c r="G324" s="24"/>
      <c r="H324" s="25"/>
    </row>
    <row r="325" spans="1:9" s="26" customFormat="1" x14ac:dyDescent="0.3">
      <c r="A325" s="57"/>
      <c r="B325" s="41" t="s">
        <v>5</v>
      </c>
      <c r="C325" s="39" t="s">
        <v>161</v>
      </c>
      <c r="D325" s="41" t="s">
        <v>24</v>
      </c>
      <c r="E325" s="17">
        <v>100</v>
      </c>
      <c r="F325" s="51">
        <f>(F329+F336)/2</f>
        <v>50.005555555555553</v>
      </c>
      <c r="G325" s="24"/>
      <c r="H325" s="25"/>
    </row>
    <row r="326" spans="1:9" s="26" customFormat="1" x14ac:dyDescent="0.3">
      <c r="A326" s="61" t="s">
        <v>162</v>
      </c>
      <c r="B326" s="41" t="s">
        <v>6</v>
      </c>
      <c r="C326" s="39" t="s">
        <v>30</v>
      </c>
      <c r="D326" s="41" t="s">
        <v>31</v>
      </c>
      <c r="E326" s="17">
        <f>67500*2+46500</f>
        <v>181500</v>
      </c>
      <c r="F326" s="17">
        <f>46500+67500+67500</f>
        <v>181500</v>
      </c>
      <c r="G326" s="24">
        <f t="shared" si="8"/>
        <v>1</v>
      </c>
      <c r="H326" s="25"/>
    </row>
    <row r="327" spans="1:9" s="26" customFormat="1" x14ac:dyDescent="0.3">
      <c r="A327" s="61"/>
      <c r="B327" s="41" t="s">
        <v>4</v>
      </c>
      <c r="C327" s="39" t="s">
        <v>154</v>
      </c>
      <c r="D327" s="41" t="s">
        <v>33</v>
      </c>
      <c r="E327" s="18">
        <v>3</v>
      </c>
      <c r="F327" s="18">
        <v>3</v>
      </c>
      <c r="G327" s="24"/>
      <c r="H327" s="25"/>
    </row>
    <row r="328" spans="1:9" s="26" customFormat="1" x14ac:dyDescent="0.3">
      <c r="A328" s="61"/>
      <c r="B328" s="41" t="s">
        <v>7</v>
      </c>
      <c r="C328" s="39" t="s">
        <v>155</v>
      </c>
      <c r="D328" s="41" t="s">
        <v>31</v>
      </c>
      <c r="E328" s="17">
        <f>E326/E327</f>
        <v>60500</v>
      </c>
      <c r="F328" s="17">
        <f>F326/F327</f>
        <v>60500</v>
      </c>
      <c r="G328" s="24"/>
      <c r="H328" s="25"/>
    </row>
    <row r="329" spans="1:9" s="26" customFormat="1" x14ac:dyDescent="0.3">
      <c r="A329" s="61"/>
      <c r="B329" s="41" t="s">
        <v>5</v>
      </c>
      <c r="C329" s="39" t="s">
        <v>156</v>
      </c>
      <c r="D329" s="41" t="s">
        <v>24</v>
      </c>
      <c r="E329" s="17">
        <v>100</v>
      </c>
      <c r="F329" s="17">
        <v>100</v>
      </c>
      <c r="G329" s="24"/>
      <c r="H329" s="25"/>
      <c r="I329" s="52"/>
    </row>
    <row r="330" spans="1:9" s="26" customFormat="1" x14ac:dyDescent="0.3">
      <c r="A330" s="76" t="s">
        <v>163</v>
      </c>
      <c r="B330" s="41" t="s">
        <v>6</v>
      </c>
      <c r="C330" s="39" t="s">
        <v>30</v>
      </c>
      <c r="D330" s="41" t="s">
        <v>31</v>
      </c>
      <c r="E330" s="17">
        <f>30999+50000+20000</f>
        <v>100999</v>
      </c>
      <c r="F330" s="17">
        <f>400+13500</f>
        <v>13900</v>
      </c>
      <c r="G330" s="24">
        <f t="shared" si="8"/>
        <v>0.13762512500123764</v>
      </c>
      <c r="H330" s="94"/>
    </row>
    <row r="331" spans="1:9" s="26" customFormat="1" x14ac:dyDescent="0.3">
      <c r="A331" s="76"/>
      <c r="B331" s="86" t="s">
        <v>4</v>
      </c>
      <c r="C331" s="39" t="s">
        <v>164</v>
      </c>
      <c r="D331" s="41" t="s">
        <v>165</v>
      </c>
      <c r="E331" s="17">
        <v>450</v>
      </c>
      <c r="F331" s="17">
        <v>85</v>
      </c>
      <c r="G331" s="24"/>
      <c r="H331" s="95"/>
    </row>
    <row r="332" spans="1:9" s="26" customFormat="1" x14ac:dyDescent="0.3">
      <c r="A332" s="76"/>
      <c r="B332" s="86"/>
      <c r="C332" s="39" t="s">
        <v>166</v>
      </c>
      <c r="D332" s="41" t="s">
        <v>165</v>
      </c>
      <c r="E332" s="17">
        <v>180</v>
      </c>
      <c r="F332" s="17">
        <v>2</v>
      </c>
      <c r="G332" s="24"/>
      <c r="H332" s="95"/>
    </row>
    <row r="333" spans="1:9" s="26" customFormat="1" ht="26.4" x14ac:dyDescent="0.3">
      <c r="A333" s="76"/>
      <c r="B333" s="86" t="s">
        <v>7</v>
      </c>
      <c r="C333" s="39" t="s">
        <v>167</v>
      </c>
      <c r="D333" s="41" t="s">
        <v>46</v>
      </c>
      <c r="E333" s="17">
        <v>150</v>
      </c>
      <c r="F333" s="17">
        <v>150</v>
      </c>
      <c r="G333" s="24"/>
      <c r="H333" s="95"/>
    </row>
    <row r="334" spans="1:9" s="26" customFormat="1" ht="26.4" x14ac:dyDescent="0.3">
      <c r="A334" s="76"/>
      <c r="B334" s="86"/>
      <c r="C334" s="39" t="s">
        <v>168</v>
      </c>
      <c r="D334" s="41" t="s">
        <v>169</v>
      </c>
      <c r="E334" s="17">
        <v>186.11</v>
      </c>
      <c r="F334" s="17">
        <v>575</v>
      </c>
      <c r="G334" s="24"/>
      <c r="H334" s="95"/>
    </row>
    <row r="335" spans="1:9" s="26" customFormat="1" ht="26.4" x14ac:dyDescent="0.3">
      <c r="A335" s="76"/>
      <c r="B335" s="86" t="s">
        <v>5</v>
      </c>
      <c r="C335" s="39" t="s">
        <v>170</v>
      </c>
      <c r="D335" s="41" t="s">
        <v>24</v>
      </c>
      <c r="E335" s="17">
        <v>100</v>
      </c>
      <c r="F335" s="24">
        <f>F331/E331</f>
        <v>0.18888888888888888</v>
      </c>
      <c r="G335" s="24"/>
      <c r="H335" s="95"/>
    </row>
    <row r="336" spans="1:9" s="26" customFormat="1" x14ac:dyDescent="0.3">
      <c r="A336" s="76"/>
      <c r="B336" s="86"/>
      <c r="C336" s="39" t="s">
        <v>171</v>
      </c>
      <c r="D336" s="41" t="s">
        <v>24</v>
      </c>
      <c r="E336" s="17">
        <v>100</v>
      </c>
      <c r="F336" s="24">
        <f>F332/E332</f>
        <v>1.1111111111111112E-2</v>
      </c>
      <c r="G336" s="24"/>
      <c r="H336" s="96"/>
    </row>
    <row r="337" spans="1:8" s="26" customFormat="1" ht="17.25" customHeight="1" x14ac:dyDescent="0.3">
      <c r="A337" s="61" t="s">
        <v>172</v>
      </c>
      <c r="B337" s="41" t="s">
        <v>6</v>
      </c>
      <c r="C337" s="39" t="s">
        <v>30</v>
      </c>
      <c r="D337" s="41" t="s">
        <v>31</v>
      </c>
      <c r="E337" s="17">
        <f>14400+46800+46800</f>
        <v>108000</v>
      </c>
      <c r="F337" s="20">
        <v>0</v>
      </c>
      <c r="G337" s="24">
        <f>F337/E337</f>
        <v>0</v>
      </c>
      <c r="H337" s="58" t="s">
        <v>269</v>
      </c>
    </row>
    <row r="338" spans="1:8" s="26" customFormat="1" ht="18" customHeight="1" x14ac:dyDescent="0.3">
      <c r="A338" s="61"/>
      <c r="B338" s="41" t="s">
        <v>4</v>
      </c>
      <c r="C338" s="39" t="s">
        <v>173</v>
      </c>
      <c r="D338" s="41" t="s">
        <v>174</v>
      </c>
      <c r="E338" s="18">
        <v>104</v>
      </c>
      <c r="F338" s="20">
        <v>0</v>
      </c>
      <c r="G338" s="24"/>
      <c r="H338" s="59"/>
    </row>
    <row r="339" spans="1:8" s="26" customFormat="1" ht="26.4" x14ac:dyDescent="0.3">
      <c r="A339" s="61"/>
      <c r="B339" s="41" t="s">
        <v>7</v>
      </c>
      <c r="C339" s="39" t="s">
        <v>175</v>
      </c>
      <c r="D339" s="41" t="s">
        <v>169</v>
      </c>
      <c r="E339" s="17">
        <f>E337/E338</f>
        <v>1038.4615384615386</v>
      </c>
      <c r="F339" s="20">
        <v>0</v>
      </c>
      <c r="G339" s="24"/>
      <c r="H339" s="59"/>
    </row>
    <row r="340" spans="1:8" s="26" customFormat="1" ht="26.4" x14ac:dyDescent="0.3">
      <c r="A340" s="61"/>
      <c r="B340" s="41" t="s">
        <v>5</v>
      </c>
      <c r="C340" s="39" t="s">
        <v>176</v>
      </c>
      <c r="D340" s="41" t="s">
        <v>24</v>
      </c>
      <c r="E340" s="17">
        <v>100</v>
      </c>
      <c r="F340" s="20">
        <v>0</v>
      </c>
      <c r="G340" s="24"/>
      <c r="H340" s="60"/>
    </row>
    <row r="341" spans="1:8" s="26" customFormat="1" x14ac:dyDescent="0.3">
      <c r="A341" s="80" t="s">
        <v>256</v>
      </c>
      <c r="B341" s="41" t="s">
        <v>6</v>
      </c>
      <c r="C341" s="39" t="s">
        <v>30</v>
      </c>
      <c r="D341" s="41" t="s">
        <v>31</v>
      </c>
      <c r="E341" s="17">
        <f>E345</f>
        <v>10000</v>
      </c>
      <c r="F341" s="17">
        <f>F345</f>
        <v>4126.32</v>
      </c>
      <c r="G341" s="24"/>
      <c r="H341" s="42"/>
    </row>
    <row r="342" spans="1:8" s="26" customFormat="1" x14ac:dyDescent="0.3">
      <c r="A342" s="80"/>
      <c r="B342" s="41" t="s">
        <v>4</v>
      </c>
      <c r="C342" s="39" t="s">
        <v>257</v>
      </c>
      <c r="D342" s="41" t="s">
        <v>33</v>
      </c>
      <c r="E342" s="18">
        <v>1</v>
      </c>
      <c r="F342" s="18">
        <v>1</v>
      </c>
      <c r="G342" s="24"/>
      <c r="H342" s="42"/>
    </row>
    <row r="343" spans="1:8" s="26" customFormat="1" x14ac:dyDescent="0.3">
      <c r="A343" s="80"/>
      <c r="B343" s="41" t="s">
        <v>7</v>
      </c>
      <c r="C343" s="39" t="s">
        <v>258</v>
      </c>
      <c r="D343" s="41" t="s">
        <v>31</v>
      </c>
      <c r="E343" s="17">
        <f>E341/E342</f>
        <v>10000</v>
      </c>
      <c r="F343" s="17">
        <f>F341/F342</f>
        <v>4126.32</v>
      </c>
      <c r="G343" s="24"/>
      <c r="H343" s="42"/>
    </row>
    <row r="344" spans="1:8" s="26" customFormat="1" ht="26.4" x14ac:dyDescent="0.3">
      <c r="A344" s="80"/>
      <c r="B344" s="41" t="s">
        <v>5</v>
      </c>
      <c r="C344" s="39" t="s">
        <v>259</v>
      </c>
      <c r="D344" s="41" t="s">
        <v>24</v>
      </c>
      <c r="E344" s="17">
        <v>100</v>
      </c>
      <c r="F344" s="17">
        <v>100</v>
      </c>
      <c r="G344" s="24"/>
      <c r="H344" s="42"/>
    </row>
    <row r="345" spans="1:8" s="26" customFormat="1" x14ac:dyDescent="0.3">
      <c r="A345" s="61" t="s">
        <v>282</v>
      </c>
      <c r="B345" s="41" t="s">
        <v>6</v>
      </c>
      <c r="C345" s="39" t="s">
        <v>30</v>
      </c>
      <c r="D345" s="41" t="s">
        <v>31</v>
      </c>
      <c r="E345" s="17">
        <v>10000</v>
      </c>
      <c r="F345" s="17">
        <v>4126.32</v>
      </c>
      <c r="G345" s="24">
        <f>F345/E345</f>
        <v>0.41263199999999994</v>
      </c>
      <c r="H345" s="42"/>
    </row>
    <row r="346" spans="1:8" s="26" customFormat="1" ht="22.8" customHeight="1" x14ac:dyDescent="0.3">
      <c r="A346" s="61"/>
      <c r="B346" s="41" t="s">
        <v>4</v>
      </c>
      <c r="C346" s="39" t="s">
        <v>257</v>
      </c>
      <c r="D346" s="41" t="s">
        <v>33</v>
      </c>
      <c r="E346" s="18">
        <v>1</v>
      </c>
      <c r="F346" s="18">
        <v>1</v>
      </c>
      <c r="G346" s="24"/>
      <c r="H346" s="42"/>
    </row>
    <row r="347" spans="1:8" s="26" customFormat="1" ht="24" customHeight="1" x14ac:dyDescent="0.3">
      <c r="A347" s="61"/>
      <c r="B347" s="41" t="s">
        <v>7</v>
      </c>
      <c r="C347" s="39" t="s">
        <v>258</v>
      </c>
      <c r="D347" s="41" t="s">
        <v>31</v>
      </c>
      <c r="E347" s="17">
        <f>E345/E346</f>
        <v>10000</v>
      </c>
      <c r="F347" s="17">
        <f>F345/F346</f>
        <v>4126.32</v>
      </c>
      <c r="G347" s="24"/>
      <c r="H347" s="42"/>
    </row>
    <row r="348" spans="1:8" s="26" customFormat="1" ht="46.8" customHeight="1" x14ac:dyDescent="0.3">
      <c r="A348" s="61"/>
      <c r="B348" s="41" t="s">
        <v>5</v>
      </c>
      <c r="C348" s="39" t="s">
        <v>259</v>
      </c>
      <c r="D348" s="41" t="s">
        <v>24</v>
      </c>
      <c r="E348" s="17">
        <v>100</v>
      </c>
      <c r="F348" s="17">
        <v>100</v>
      </c>
      <c r="G348" s="24"/>
      <c r="H348" s="42"/>
    </row>
    <row r="349" spans="1:8" s="26" customFormat="1" ht="16.8" customHeight="1" x14ac:dyDescent="0.3">
      <c r="A349" s="55" t="s">
        <v>177</v>
      </c>
      <c r="B349" s="41" t="s">
        <v>6</v>
      </c>
      <c r="C349" s="39" t="s">
        <v>30</v>
      </c>
      <c r="D349" s="41" t="s">
        <v>31</v>
      </c>
      <c r="E349" s="17">
        <f>E353</f>
        <v>453200</v>
      </c>
      <c r="F349" s="17">
        <f>F353</f>
        <v>289742.5</v>
      </c>
      <c r="G349" s="24">
        <f t="shared" si="8"/>
        <v>0.63932590467784645</v>
      </c>
      <c r="H349" s="25"/>
    </row>
    <row r="350" spans="1:8" s="26" customFormat="1" ht="16.8" customHeight="1" x14ac:dyDescent="0.3">
      <c r="A350" s="56"/>
      <c r="B350" s="41" t="s">
        <v>4</v>
      </c>
      <c r="C350" s="39" t="s">
        <v>178</v>
      </c>
      <c r="D350" s="41" t="s">
        <v>33</v>
      </c>
      <c r="E350" s="18">
        <v>21</v>
      </c>
      <c r="F350" s="18">
        <v>21</v>
      </c>
      <c r="G350" s="24"/>
      <c r="H350" s="25"/>
    </row>
    <row r="351" spans="1:8" s="26" customFormat="1" ht="16.8" customHeight="1" x14ac:dyDescent="0.3">
      <c r="A351" s="56"/>
      <c r="B351" s="41" t="s">
        <v>7</v>
      </c>
      <c r="C351" s="39" t="s">
        <v>179</v>
      </c>
      <c r="D351" s="41" t="s">
        <v>46</v>
      </c>
      <c r="E351" s="17">
        <f>E349/E350</f>
        <v>21580.952380952382</v>
      </c>
      <c r="F351" s="17">
        <f>F349/F350</f>
        <v>13797.261904761905</v>
      </c>
      <c r="G351" s="24"/>
      <c r="H351" s="25"/>
    </row>
    <row r="352" spans="1:8" s="26" customFormat="1" ht="36.6" customHeight="1" x14ac:dyDescent="0.3">
      <c r="A352" s="57"/>
      <c r="B352" s="41" t="s">
        <v>5</v>
      </c>
      <c r="C352" s="39" t="s">
        <v>180</v>
      </c>
      <c r="D352" s="41" t="s">
        <v>24</v>
      </c>
      <c r="E352" s="17">
        <v>32</v>
      </c>
      <c r="F352" s="17">
        <v>32</v>
      </c>
      <c r="G352" s="24"/>
      <c r="H352" s="25"/>
    </row>
    <row r="353" spans="1:8" s="26" customFormat="1" x14ac:dyDescent="0.3">
      <c r="A353" s="61" t="s">
        <v>181</v>
      </c>
      <c r="B353" s="41" t="s">
        <v>6</v>
      </c>
      <c r="C353" s="39" t="s">
        <v>30</v>
      </c>
      <c r="D353" s="41" t="s">
        <v>31</v>
      </c>
      <c r="E353" s="17">
        <f>160000*2+133200</f>
        <v>453200</v>
      </c>
      <c r="F353" s="17">
        <f>96833.5+153849+(15060+24000)</f>
        <v>289742.5</v>
      </c>
      <c r="G353" s="24">
        <f t="shared" si="8"/>
        <v>0.63932590467784645</v>
      </c>
      <c r="H353" s="25"/>
    </row>
    <row r="354" spans="1:8" s="26" customFormat="1" ht="26.4" x14ac:dyDescent="0.3">
      <c r="A354" s="61"/>
      <c r="B354" s="41" t="s">
        <v>4</v>
      </c>
      <c r="C354" s="39" t="s">
        <v>182</v>
      </c>
      <c r="D354" s="41" t="s">
        <v>33</v>
      </c>
      <c r="E354" s="18">
        <v>21</v>
      </c>
      <c r="F354" s="18">
        <v>21</v>
      </c>
      <c r="G354" s="24"/>
      <c r="H354" s="25"/>
    </row>
    <row r="355" spans="1:8" s="26" customFormat="1" ht="39.6" x14ac:dyDescent="0.3">
      <c r="A355" s="61"/>
      <c r="B355" s="41" t="s">
        <v>7</v>
      </c>
      <c r="C355" s="39" t="s">
        <v>183</v>
      </c>
      <c r="D355" s="41" t="s">
        <v>46</v>
      </c>
      <c r="E355" s="17">
        <f>E353/E354</f>
        <v>21580.952380952382</v>
      </c>
      <c r="F355" s="17">
        <f>F353/F354</f>
        <v>13797.261904761905</v>
      </c>
      <c r="G355" s="24"/>
      <c r="H355" s="25"/>
    </row>
    <row r="356" spans="1:8" s="26" customFormat="1" ht="26.4" x14ac:dyDescent="0.3">
      <c r="A356" s="61"/>
      <c r="B356" s="41" t="s">
        <v>5</v>
      </c>
      <c r="C356" s="39" t="s">
        <v>180</v>
      </c>
      <c r="D356" s="41" t="s">
        <v>24</v>
      </c>
      <c r="E356" s="17">
        <v>32</v>
      </c>
      <c r="F356" s="17">
        <v>32</v>
      </c>
      <c r="G356" s="24"/>
      <c r="H356" s="25"/>
    </row>
    <row r="357" spans="1:8" s="26" customFormat="1" x14ac:dyDescent="0.3">
      <c r="A357" s="55" t="s">
        <v>184</v>
      </c>
      <c r="B357" s="41" t="s">
        <v>6</v>
      </c>
      <c r="C357" s="39" t="s">
        <v>30</v>
      </c>
      <c r="D357" s="41" t="s">
        <v>31</v>
      </c>
      <c r="E357" s="17">
        <f>E361</f>
        <v>299900</v>
      </c>
      <c r="F357" s="17">
        <f>F361</f>
        <v>61900</v>
      </c>
      <c r="G357" s="24">
        <f t="shared" si="8"/>
        <v>0.20640213404468155</v>
      </c>
      <c r="H357" s="25"/>
    </row>
    <row r="358" spans="1:8" s="26" customFormat="1" ht="25.5" customHeight="1" x14ac:dyDescent="0.3">
      <c r="A358" s="56"/>
      <c r="B358" s="41" t="s">
        <v>4</v>
      </c>
      <c r="C358" s="39" t="s">
        <v>185</v>
      </c>
      <c r="D358" s="41" t="s">
        <v>33</v>
      </c>
      <c r="E358" s="18">
        <v>6</v>
      </c>
      <c r="F358" s="18">
        <f>F362</f>
        <v>2</v>
      </c>
      <c r="G358" s="24"/>
      <c r="H358" s="25"/>
    </row>
    <row r="359" spans="1:8" s="26" customFormat="1" ht="26.4" x14ac:dyDescent="0.3">
      <c r="A359" s="56"/>
      <c r="B359" s="41" t="s">
        <v>7</v>
      </c>
      <c r="C359" s="39" t="s">
        <v>186</v>
      </c>
      <c r="D359" s="41" t="s">
        <v>46</v>
      </c>
      <c r="E359" s="17">
        <f>E357/E358</f>
        <v>49983.333333333336</v>
      </c>
      <c r="F359" s="17">
        <f>F357/F358</f>
        <v>30950</v>
      </c>
      <c r="G359" s="24"/>
      <c r="H359" s="25"/>
    </row>
    <row r="360" spans="1:8" s="26" customFormat="1" ht="26.4" x14ac:dyDescent="0.3">
      <c r="A360" s="57"/>
      <c r="B360" s="41" t="s">
        <v>5</v>
      </c>
      <c r="C360" s="39" t="s">
        <v>187</v>
      </c>
      <c r="D360" s="41" t="s">
        <v>188</v>
      </c>
      <c r="E360" s="18">
        <v>165</v>
      </c>
      <c r="F360" s="19">
        <v>114</v>
      </c>
      <c r="G360" s="24"/>
      <c r="H360" s="25"/>
    </row>
    <row r="361" spans="1:8" s="26" customFormat="1" x14ac:dyDescent="0.3">
      <c r="A361" s="61" t="s">
        <v>189</v>
      </c>
      <c r="B361" s="41" t="s">
        <v>6</v>
      </c>
      <c r="C361" s="39" t="s">
        <v>30</v>
      </c>
      <c r="D361" s="41" t="s">
        <v>31</v>
      </c>
      <c r="E361" s="17">
        <f>95000+70000+134900</f>
        <v>299900</v>
      </c>
      <c r="F361" s="17">
        <v>61900</v>
      </c>
      <c r="G361" s="24">
        <f t="shared" si="8"/>
        <v>0.20640213404468155</v>
      </c>
      <c r="H361" s="58"/>
    </row>
    <row r="362" spans="1:8" s="26" customFormat="1" ht="39.6" x14ac:dyDescent="0.3">
      <c r="A362" s="61"/>
      <c r="B362" s="41" t="s">
        <v>4</v>
      </c>
      <c r="C362" s="39" t="s">
        <v>190</v>
      </c>
      <c r="D362" s="41" t="s">
        <v>33</v>
      </c>
      <c r="E362" s="18">
        <v>6</v>
      </c>
      <c r="F362" s="18">
        <v>2</v>
      </c>
      <c r="G362" s="24"/>
      <c r="H362" s="59"/>
    </row>
    <row r="363" spans="1:8" s="26" customFormat="1" ht="39.6" x14ac:dyDescent="0.3">
      <c r="A363" s="61"/>
      <c r="B363" s="41" t="s">
        <v>7</v>
      </c>
      <c r="C363" s="39" t="s">
        <v>183</v>
      </c>
      <c r="D363" s="41" t="s">
        <v>46</v>
      </c>
      <c r="E363" s="17">
        <f>E361/E362</f>
        <v>49983.333333333336</v>
      </c>
      <c r="F363" s="17">
        <f>F361/F362</f>
        <v>30950</v>
      </c>
      <c r="G363" s="24"/>
      <c r="H363" s="59"/>
    </row>
    <row r="364" spans="1:8" s="26" customFormat="1" ht="26.4" x14ac:dyDescent="0.3">
      <c r="A364" s="61"/>
      <c r="B364" s="41" t="s">
        <v>5</v>
      </c>
      <c r="C364" s="39" t="s">
        <v>187</v>
      </c>
      <c r="D364" s="41" t="s">
        <v>188</v>
      </c>
      <c r="E364" s="18">
        <f>50+55+60</f>
        <v>165</v>
      </c>
      <c r="F364" s="19">
        <v>114</v>
      </c>
      <c r="G364" s="24"/>
      <c r="H364" s="60"/>
    </row>
    <row r="365" spans="1:8" s="26" customFormat="1" ht="23.4" customHeight="1" x14ac:dyDescent="0.3">
      <c r="A365" s="55" t="s">
        <v>191</v>
      </c>
      <c r="B365" s="41" t="s">
        <v>6</v>
      </c>
      <c r="C365" s="39" t="s">
        <v>30</v>
      </c>
      <c r="D365" s="41" t="s">
        <v>31</v>
      </c>
      <c r="E365" s="17">
        <f>E369</f>
        <v>140000</v>
      </c>
      <c r="F365" s="17">
        <f>F369</f>
        <v>23850</v>
      </c>
      <c r="G365" s="24">
        <f t="shared" si="8"/>
        <v>0.17035714285714285</v>
      </c>
      <c r="H365" s="25"/>
    </row>
    <row r="366" spans="1:8" s="26" customFormat="1" ht="33.6" customHeight="1" x14ac:dyDescent="0.3">
      <c r="A366" s="56"/>
      <c r="B366" s="41" t="s">
        <v>4</v>
      </c>
      <c r="C366" s="39" t="s">
        <v>192</v>
      </c>
      <c r="D366" s="41" t="s">
        <v>33</v>
      </c>
      <c r="E366" s="18">
        <v>115</v>
      </c>
      <c r="F366" s="19">
        <v>31</v>
      </c>
      <c r="G366" s="24"/>
      <c r="H366" s="25"/>
    </row>
    <row r="367" spans="1:8" s="26" customFormat="1" ht="42" customHeight="1" x14ac:dyDescent="0.3">
      <c r="A367" s="56"/>
      <c r="B367" s="41" t="s">
        <v>7</v>
      </c>
      <c r="C367" s="39" t="s">
        <v>193</v>
      </c>
      <c r="D367" s="41" t="s">
        <v>46</v>
      </c>
      <c r="E367" s="17">
        <f>E365/E366</f>
        <v>1217.391304347826</v>
      </c>
      <c r="F367" s="17">
        <f>F365/F366</f>
        <v>769.35483870967744</v>
      </c>
      <c r="G367" s="24"/>
      <c r="H367" s="25"/>
    </row>
    <row r="368" spans="1:8" s="26" customFormat="1" ht="39.6" x14ac:dyDescent="0.3">
      <c r="A368" s="57"/>
      <c r="B368" s="41" t="s">
        <v>5</v>
      </c>
      <c r="C368" s="39" t="s">
        <v>194</v>
      </c>
      <c r="D368" s="41" t="s">
        <v>24</v>
      </c>
      <c r="E368" s="17">
        <v>100</v>
      </c>
      <c r="F368" s="17">
        <v>100</v>
      </c>
      <c r="G368" s="24"/>
      <c r="H368" s="25"/>
    </row>
    <row r="369" spans="1:8" s="26" customFormat="1" ht="21.6" customHeight="1" x14ac:dyDescent="0.3">
      <c r="A369" s="61" t="s">
        <v>195</v>
      </c>
      <c r="B369" s="41" t="s">
        <v>6</v>
      </c>
      <c r="C369" s="39" t="s">
        <v>30</v>
      </c>
      <c r="D369" s="41" t="s">
        <v>31</v>
      </c>
      <c r="E369" s="17">
        <f>20000+50000+70000</f>
        <v>140000</v>
      </c>
      <c r="F369" s="17">
        <f>11160+12690</f>
        <v>23850</v>
      </c>
      <c r="G369" s="24">
        <f t="shared" ref="G369" si="9">F369/E369</f>
        <v>0.17035714285714285</v>
      </c>
      <c r="H369" s="58" t="s">
        <v>196</v>
      </c>
    </row>
    <row r="370" spans="1:8" s="26" customFormat="1" ht="26.4" x14ac:dyDescent="0.3">
      <c r="A370" s="61"/>
      <c r="B370" s="41" t="s">
        <v>4</v>
      </c>
      <c r="C370" s="39" t="s">
        <v>197</v>
      </c>
      <c r="D370" s="41" t="s">
        <v>33</v>
      </c>
      <c r="E370" s="18">
        <v>115</v>
      </c>
      <c r="F370" s="18">
        <v>31</v>
      </c>
      <c r="G370" s="24"/>
      <c r="H370" s="59"/>
    </row>
    <row r="371" spans="1:8" s="26" customFormat="1" ht="26.4" x14ac:dyDescent="0.3">
      <c r="A371" s="61"/>
      <c r="B371" s="41" t="s">
        <v>7</v>
      </c>
      <c r="C371" s="39" t="s">
        <v>193</v>
      </c>
      <c r="D371" s="41" t="s">
        <v>46</v>
      </c>
      <c r="E371" s="17">
        <f>E369/E370</f>
        <v>1217.391304347826</v>
      </c>
      <c r="F371" s="17">
        <f>F369/F370</f>
        <v>769.35483870967744</v>
      </c>
      <c r="G371" s="24"/>
      <c r="H371" s="59"/>
    </row>
    <row r="372" spans="1:8" s="26" customFormat="1" ht="39.6" x14ac:dyDescent="0.3">
      <c r="A372" s="61"/>
      <c r="B372" s="41" t="s">
        <v>5</v>
      </c>
      <c r="C372" s="39" t="s">
        <v>194</v>
      </c>
      <c r="D372" s="41" t="s">
        <v>24</v>
      </c>
      <c r="E372" s="17">
        <v>100</v>
      </c>
      <c r="F372" s="17">
        <v>100</v>
      </c>
      <c r="G372" s="24"/>
      <c r="H372" s="60"/>
    </row>
    <row r="373" spans="1:8" s="26" customFormat="1" ht="25.2" customHeight="1" x14ac:dyDescent="0.3">
      <c r="A373" s="80" t="s">
        <v>260</v>
      </c>
      <c r="B373" s="41" t="s">
        <v>6</v>
      </c>
      <c r="C373" s="39" t="s">
        <v>30</v>
      </c>
      <c r="D373" s="41" t="s">
        <v>31</v>
      </c>
      <c r="E373" s="17">
        <f>E377</f>
        <v>150000</v>
      </c>
      <c r="F373" s="17">
        <f>F377</f>
        <v>149704.56</v>
      </c>
      <c r="G373" s="24">
        <f>F373/E373</f>
        <v>0.99803039999999998</v>
      </c>
      <c r="H373" s="42"/>
    </row>
    <row r="374" spans="1:8" s="26" customFormat="1" ht="25.2" customHeight="1" x14ac:dyDescent="0.3">
      <c r="A374" s="80"/>
      <c r="B374" s="41" t="s">
        <v>4</v>
      </c>
      <c r="C374" s="39" t="s">
        <v>69</v>
      </c>
      <c r="D374" s="41" t="s">
        <v>33</v>
      </c>
      <c r="E374" s="18">
        <v>1</v>
      </c>
      <c r="F374" s="18">
        <v>1</v>
      </c>
      <c r="G374" s="24"/>
      <c r="H374" s="42"/>
    </row>
    <row r="375" spans="1:8" s="26" customFormat="1" ht="25.2" customHeight="1" x14ac:dyDescent="0.3">
      <c r="A375" s="80"/>
      <c r="B375" s="41" t="s">
        <v>7</v>
      </c>
      <c r="C375" s="39" t="s">
        <v>261</v>
      </c>
      <c r="D375" s="41" t="s">
        <v>46</v>
      </c>
      <c r="E375" s="17">
        <f>E373/E374</f>
        <v>150000</v>
      </c>
      <c r="F375" s="17">
        <f>F373/F374</f>
        <v>149704.56</v>
      </c>
      <c r="G375" s="24"/>
      <c r="H375" s="42"/>
    </row>
    <row r="376" spans="1:8" s="26" customFormat="1" ht="25.2" customHeight="1" x14ac:dyDescent="0.3">
      <c r="A376" s="80"/>
      <c r="B376" s="41" t="s">
        <v>5</v>
      </c>
      <c r="C376" s="39" t="s">
        <v>140</v>
      </c>
      <c r="D376" s="41" t="s">
        <v>24</v>
      </c>
      <c r="E376" s="17">
        <v>100</v>
      </c>
      <c r="F376" s="17">
        <v>100</v>
      </c>
      <c r="G376" s="24"/>
      <c r="H376" s="42"/>
    </row>
    <row r="377" spans="1:8" s="26" customFormat="1" ht="20.399999999999999" customHeight="1" x14ac:dyDescent="0.3">
      <c r="A377" s="61" t="s">
        <v>262</v>
      </c>
      <c r="B377" s="41" t="s">
        <v>6</v>
      </c>
      <c r="C377" s="39" t="s">
        <v>30</v>
      </c>
      <c r="D377" s="41" t="s">
        <v>31</v>
      </c>
      <c r="E377" s="17">
        <v>150000</v>
      </c>
      <c r="F377" s="17">
        <v>149704.56</v>
      </c>
      <c r="G377" s="24">
        <f>F377/E377</f>
        <v>0.99803039999999998</v>
      </c>
      <c r="H377" s="42"/>
    </row>
    <row r="378" spans="1:8" s="26" customFormat="1" ht="20.399999999999999" customHeight="1" x14ac:dyDescent="0.3">
      <c r="A378" s="61"/>
      <c r="B378" s="41" t="s">
        <v>4</v>
      </c>
      <c r="C378" s="39" t="s">
        <v>69</v>
      </c>
      <c r="D378" s="41" t="s">
        <v>33</v>
      </c>
      <c r="E378" s="18">
        <v>1</v>
      </c>
      <c r="F378" s="18">
        <v>1</v>
      </c>
      <c r="G378" s="24"/>
      <c r="H378" s="42"/>
    </row>
    <row r="379" spans="1:8" s="26" customFormat="1" ht="20.399999999999999" customHeight="1" x14ac:dyDescent="0.3">
      <c r="A379" s="61"/>
      <c r="B379" s="41" t="s">
        <v>7</v>
      </c>
      <c r="C379" s="39" t="s">
        <v>261</v>
      </c>
      <c r="D379" s="41" t="s">
        <v>46</v>
      </c>
      <c r="E379" s="17">
        <f>E377/E378</f>
        <v>150000</v>
      </c>
      <c r="F379" s="17">
        <f>F377/F378</f>
        <v>149704.56</v>
      </c>
      <c r="G379" s="24"/>
      <c r="H379" s="42"/>
    </row>
    <row r="380" spans="1:8" s="26" customFormat="1" ht="20.399999999999999" customHeight="1" x14ac:dyDescent="0.3">
      <c r="A380" s="61"/>
      <c r="B380" s="41" t="s">
        <v>5</v>
      </c>
      <c r="C380" s="39" t="s">
        <v>140</v>
      </c>
      <c r="D380" s="41" t="s">
        <v>24</v>
      </c>
      <c r="E380" s="17">
        <v>100</v>
      </c>
      <c r="F380" s="17">
        <v>100</v>
      </c>
      <c r="G380" s="24"/>
      <c r="H380" s="42"/>
    </row>
    <row r="381" spans="1:8" s="26" customFormat="1" ht="21.6" customHeight="1" x14ac:dyDescent="0.3">
      <c r="A381" s="55" t="s">
        <v>198</v>
      </c>
      <c r="B381" s="41" t="s">
        <v>6</v>
      </c>
      <c r="C381" s="39" t="s">
        <v>30</v>
      </c>
      <c r="D381" s="41" t="s">
        <v>31</v>
      </c>
      <c r="E381" s="17">
        <f>E385</f>
        <v>200000</v>
      </c>
      <c r="F381" s="17">
        <f>F385</f>
        <v>33640.879999999997</v>
      </c>
      <c r="G381" s="53">
        <f>F381/E381</f>
        <v>0.16820439999999998</v>
      </c>
      <c r="H381" s="25"/>
    </row>
    <row r="382" spans="1:8" s="26" customFormat="1" ht="21.6" customHeight="1" x14ac:dyDescent="0.3">
      <c r="A382" s="56"/>
      <c r="B382" s="41" t="s">
        <v>4</v>
      </c>
      <c r="C382" s="39" t="s">
        <v>199</v>
      </c>
      <c r="D382" s="41" t="s">
        <v>33</v>
      </c>
      <c r="E382" s="54">
        <v>10</v>
      </c>
      <c r="F382" s="19">
        <v>10</v>
      </c>
      <c r="G382" s="25"/>
      <c r="H382" s="25"/>
    </row>
    <row r="383" spans="1:8" s="26" customFormat="1" ht="21.6" customHeight="1" x14ac:dyDescent="0.3">
      <c r="A383" s="56"/>
      <c r="B383" s="41" t="s">
        <v>7</v>
      </c>
      <c r="C383" s="39" t="s">
        <v>200</v>
      </c>
      <c r="D383" s="41" t="s">
        <v>46</v>
      </c>
      <c r="E383" s="16">
        <f>E381/E382</f>
        <v>20000</v>
      </c>
      <c r="F383" s="17">
        <f>F381/F382</f>
        <v>3364.0879999999997</v>
      </c>
      <c r="G383" s="25"/>
      <c r="H383" s="25"/>
    </row>
    <row r="384" spans="1:8" s="26" customFormat="1" ht="21.6" customHeight="1" x14ac:dyDescent="0.3">
      <c r="A384" s="57"/>
      <c r="B384" s="41" t="s">
        <v>5</v>
      </c>
      <c r="C384" s="39" t="s">
        <v>201</v>
      </c>
      <c r="D384" s="41" t="s">
        <v>24</v>
      </c>
      <c r="E384" s="16">
        <v>100</v>
      </c>
      <c r="F384" s="16">
        <v>100</v>
      </c>
      <c r="G384" s="25"/>
      <c r="H384" s="25"/>
    </row>
    <row r="385" spans="1:12" s="26" customFormat="1" ht="22.2" customHeight="1" x14ac:dyDescent="0.3">
      <c r="A385" s="61" t="s">
        <v>202</v>
      </c>
      <c r="B385" s="41" t="s">
        <v>6</v>
      </c>
      <c r="C385" s="39" t="s">
        <v>30</v>
      </c>
      <c r="D385" s="41" t="s">
        <v>31</v>
      </c>
      <c r="E385" s="17">
        <v>200000</v>
      </c>
      <c r="F385" s="17">
        <v>33640.879999999997</v>
      </c>
      <c r="G385" s="24">
        <f>F385/E385</f>
        <v>0.16820439999999998</v>
      </c>
      <c r="H385" s="25"/>
    </row>
    <row r="386" spans="1:12" s="26" customFormat="1" x14ac:dyDescent="0.3">
      <c r="A386" s="61"/>
      <c r="B386" s="41" t="s">
        <v>4</v>
      </c>
      <c r="C386" s="39" t="s">
        <v>199</v>
      </c>
      <c r="D386" s="41" t="s">
        <v>33</v>
      </c>
      <c r="E386" s="18">
        <v>10</v>
      </c>
      <c r="F386" s="18">
        <v>10</v>
      </c>
      <c r="G386" s="25"/>
      <c r="H386" s="25"/>
    </row>
    <row r="387" spans="1:12" s="26" customFormat="1" x14ac:dyDescent="0.3">
      <c r="A387" s="61"/>
      <c r="B387" s="41" t="s">
        <v>7</v>
      </c>
      <c r="C387" s="39" t="s">
        <v>200</v>
      </c>
      <c r="D387" s="41" t="s">
        <v>46</v>
      </c>
      <c r="E387" s="17">
        <f>E385/E386</f>
        <v>20000</v>
      </c>
      <c r="F387" s="17">
        <f>F385/F386</f>
        <v>3364.0879999999997</v>
      </c>
      <c r="G387" s="25"/>
      <c r="H387" s="25"/>
    </row>
    <row r="388" spans="1:12" s="26" customFormat="1" ht="20.399999999999999" customHeight="1" x14ac:dyDescent="0.3">
      <c r="A388" s="61"/>
      <c r="B388" s="41" t="s">
        <v>5</v>
      </c>
      <c r="C388" s="39" t="s">
        <v>201</v>
      </c>
      <c r="D388" s="41" t="s">
        <v>24</v>
      </c>
      <c r="E388" s="17">
        <v>100</v>
      </c>
      <c r="F388" s="17">
        <v>100</v>
      </c>
      <c r="G388" s="25"/>
      <c r="H388" s="25"/>
    </row>
    <row r="389" spans="1:12" s="26" customFormat="1" x14ac:dyDescent="0.3">
      <c r="E389" s="36"/>
      <c r="F389" s="36"/>
    </row>
    <row r="393" spans="1:12" ht="18" x14ac:dyDescent="0.3">
      <c r="A393" s="93" t="s">
        <v>203</v>
      </c>
      <c r="B393" s="93"/>
      <c r="C393" s="21"/>
      <c r="D393" s="21"/>
      <c r="E393" s="35"/>
      <c r="F393" s="21"/>
      <c r="G393" s="21"/>
      <c r="H393" s="22" t="s">
        <v>204</v>
      </c>
      <c r="I393" s="21"/>
      <c r="J393" s="21"/>
      <c r="K393" s="21"/>
      <c r="L393" s="21"/>
    </row>
    <row r="396" spans="1:12" ht="15.6" x14ac:dyDescent="0.3">
      <c r="A396" s="1" t="s">
        <v>283</v>
      </c>
    </row>
  </sheetData>
  <mergeCells count="170">
    <mergeCell ref="A61:A65"/>
    <mergeCell ref="B61:B62"/>
    <mergeCell ref="H107:H110"/>
    <mergeCell ref="H330:H336"/>
    <mergeCell ref="A314:A317"/>
    <mergeCell ref="A318:A321"/>
    <mergeCell ref="A322:A325"/>
    <mergeCell ref="A326:A329"/>
    <mergeCell ref="A330:A336"/>
    <mergeCell ref="B331:B332"/>
    <mergeCell ref="B333:B334"/>
    <mergeCell ref="B335:B336"/>
    <mergeCell ref="A292:A295"/>
    <mergeCell ref="A296:A300"/>
    <mergeCell ref="A107:A110"/>
    <mergeCell ref="A132:A136"/>
    <mergeCell ref="B132:B133"/>
    <mergeCell ref="A166:A169"/>
    <mergeCell ref="A221:A224"/>
    <mergeCell ref="A225:A228"/>
    <mergeCell ref="A175:A179"/>
    <mergeCell ref="B175:B176"/>
    <mergeCell ref="A180:A183"/>
    <mergeCell ref="A184:A187"/>
    <mergeCell ref="A170:A174"/>
    <mergeCell ref="B170:B171"/>
    <mergeCell ref="A153:A157"/>
    <mergeCell ref="B153:B154"/>
    <mergeCell ref="A158:A165"/>
    <mergeCell ref="B158:B159"/>
    <mergeCell ref="A137:A144"/>
    <mergeCell ref="B137:B138"/>
    <mergeCell ref="A95:A106"/>
    <mergeCell ref="B95:B97"/>
    <mergeCell ref="A381:A384"/>
    <mergeCell ref="A385:A388"/>
    <mergeCell ref="A393:B393"/>
    <mergeCell ref="A337:A340"/>
    <mergeCell ref="H337:H340"/>
    <mergeCell ref="A349:A352"/>
    <mergeCell ref="A353:A356"/>
    <mergeCell ref="A357:A360"/>
    <mergeCell ref="A361:A364"/>
    <mergeCell ref="H361:H364"/>
    <mergeCell ref="A341:A344"/>
    <mergeCell ref="A345:A348"/>
    <mergeCell ref="A373:A376"/>
    <mergeCell ref="A377:A380"/>
    <mergeCell ref="A365:A368"/>
    <mergeCell ref="A369:A372"/>
    <mergeCell ref="H369:H372"/>
    <mergeCell ref="A302:A305"/>
    <mergeCell ref="A310:A313"/>
    <mergeCell ref="A262:A271"/>
    <mergeCell ref="H262:H271"/>
    <mergeCell ref="B263:B265"/>
    <mergeCell ref="B266:B268"/>
    <mergeCell ref="B269:B271"/>
    <mergeCell ref="A291:H291"/>
    <mergeCell ref="A277:A281"/>
    <mergeCell ref="B277:B278"/>
    <mergeCell ref="A282:A285"/>
    <mergeCell ref="A286:A290"/>
    <mergeCell ref="B286:B287"/>
    <mergeCell ref="A306:A309"/>
    <mergeCell ref="A272:H272"/>
    <mergeCell ref="A273:A276"/>
    <mergeCell ref="B296:B297"/>
    <mergeCell ref="A301:H301"/>
    <mergeCell ref="A241:A244"/>
    <mergeCell ref="A245:A248"/>
    <mergeCell ref="A249:A252"/>
    <mergeCell ref="A253:A256"/>
    <mergeCell ref="A257:H257"/>
    <mergeCell ref="A258:A261"/>
    <mergeCell ref="A216:A220"/>
    <mergeCell ref="B216:B217"/>
    <mergeCell ref="H216:H220"/>
    <mergeCell ref="A229:A234"/>
    <mergeCell ref="B230:B231"/>
    <mergeCell ref="B232:B233"/>
    <mergeCell ref="A235:A240"/>
    <mergeCell ref="B235:B236"/>
    <mergeCell ref="B237:B238"/>
    <mergeCell ref="H235:H240"/>
    <mergeCell ref="H202:H210"/>
    <mergeCell ref="B205:B206"/>
    <mergeCell ref="B207:B208"/>
    <mergeCell ref="B209:B210"/>
    <mergeCell ref="A211:H211"/>
    <mergeCell ref="A212:A215"/>
    <mergeCell ref="A188:A193"/>
    <mergeCell ref="B189:B190"/>
    <mergeCell ref="B191:B192"/>
    <mergeCell ref="A194:A197"/>
    <mergeCell ref="A198:A201"/>
    <mergeCell ref="A202:A210"/>
    <mergeCell ref="B202:B204"/>
    <mergeCell ref="H158:H165"/>
    <mergeCell ref="B160:B161"/>
    <mergeCell ref="B162:B163"/>
    <mergeCell ref="B164:B165"/>
    <mergeCell ref="A145:A152"/>
    <mergeCell ref="B145:B146"/>
    <mergeCell ref="H145:H152"/>
    <mergeCell ref="B147:B148"/>
    <mergeCell ref="B149:B150"/>
    <mergeCell ref="B151:B152"/>
    <mergeCell ref="H137:H144"/>
    <mergeCell ref="B139:B140"/>
    <mergeCell ref="B141:B142"/>
    <mergeCell ref="B143:B144"/>
    <mergeCell ref="A111:A120"/>
    <mergeCell ref="B111:B113"/>
    <mergeCell ref="B114:B115"/>
    <mergeCell ref="B116:B118"/>
    <mergeCell ref="B119:B120"/>
    <mergeCell ref="A121:A131"/>
    <mergeCell ref="B121:B125"/>
    <mergeCell ref="B126:B127"/>
    <mergeCell ref="B128:B129"/>
    <mergeCell ref="B130:B131"/>
    <mergeCell ref="G8:G9"/>
    <mergeCell ref="H8:H9"/>
    <mergeCell ref="H95:H106"/>
    <mergeCell ref="B98:B100"/>
    <mergeCell ref="B101:B103"/>
    <mergeCell ref="B104:B106"/>
    <mergeCell ref="A75:A79"/>
    <mergeCell ref="B75:B76"/>
    <mergeCell ref="A80:A84"/>
    <mergeCell ref="B80:B81"/>
    <mergeCell ref="A85:A89"/>
    <mergeCell ref="B85:B86"/>
    <mergeCell ref="A27:A39"/>
    <mergeCell ref="B28:B31"/>
    <mergeCell ref="B32:B35"/>
    <mergeCell ref="B36:B39"/>
    <mergeCell ref="A52:A55"/>
    <mergeCell ref="A56:A60"/>
    <mergeCell ref="B56:B57"/>
    <mergeCell ref="B44:B45"/>
    <mergeCell ref="B46:B47"/>
    <mergeCell ref="B48:B50"/>
    <mergeCell ref="A70:A74"/>
    <mergeCell ref="B70:B71"/>
    <mergeCell ref="A40:A43"/>
    <mergeCell ref="A44:A51"/>
    <mergeCell ref="A66:A69"/>
    <mergeCell ref="A90:A94"/>
    <mergeCell ref="B90:B91"/>
    <mergeCell ref="E1:H1"/>
    <mergeCell ref="E2:H2"/>
    <mergeCell ref="A3:H3"/>
    <mergeCell ref="A4:H4"/>
    <mergeCell ref="A5:H5"/>
    <mergeCell ref="A6:H6"/>
    <mergeCell ref="A11:A12"/>
    <mergeCell ref="A13:A14"/>
    <mergeCell ref="A15:A16"/>
    <mergeCell ref="A17:H17"/>
    <mergeCell ref="A18:A21"/>
    <mergeCell ref="A22:A26"/>
    <mergeCell ref="B22:B23"/>
    <mergeCell ref="H22:H26"/>
    <mergeCell ref="A7:H7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  <rowBreaks count="17" manualBreakCount="17">
    <brk id="20" max="7" man="1"/>
    <brk id="43" max="7" man="1"/>
    <brk id="65" max="7" man="1"/>
    <brk id="89" max="7" man="1"/>
    <brk id="113" max="7" man="1"/>
    <brk id="136" max="7" man="1"/>
    <brk id="157" max="7" man="1"/>
    <brk id="179" max="7" man="1"/>
    <brk id="201" max="7" man="1"/>
    <brk id="220" max="7" man="1"/>
    <brk id="243" max="7" man="1"/>
    <brk id="264" max="7" man="1"/>
    <brk id="289" max="7" man="1"/>
    <brk id="312" max="7" man="1"/>
    <brk id="340" max="7" man="1"/>
    <brk id="363" max="7" man="1"/>
    <brk id="38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Кулак Дар'я Олегівна</cp:lastModifiedBy>
  <cp:lastPrinted>2025-04-17T12:43:37Z</cp:lastPrinted>
  <dcterms:created xsi:type="dcterms:W3CDTF">2023-08-31T07:51:10Z</dcterms:created>
  <dcterms:modified xsi:type="dcterms:W3CDTF">2025-04-17T12:54:52Z</dcterms:modified>
</cp:coreProperties>
</file>