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8 сесія проєкти\Зміни до бюджету нове\"/>
    </mc:Choice>
  </mc:AlternateContent>
  <bookViews>
    <workbookView xWindow="0" yWindow="0" windowWidth="28800" windowHeight="12345" tabRatio="536"/>
  </bookViews>
  <sheets>
    <sheet name="дод 3" sheetId="9" r:id="rId1"/>
  </sheets>
  <definedNames>
    <definedName name="_xlnm._FilterDatabase" localSheetId="0" hidden="1">'дод 3'!$A$13:$Q$111</definedName>
    <definedName name="Z_262A3912_DD70_4B2A_8782_11241825DD41_.wvu.FilterData" localSheetId="0" hidden="1">'дод 3'!#REF!</definedName>
    <definedName name="Z_262A3912_DD70_4B2A_8782_11241825DD41_.wvu.PrintArea" localSheetId="0" hidden="1">'дод 3'!$C$1:$Q$111</definedName>
    <definedName name="Z_262A3912_DD70_4B2A_8782_11241825DD41_.wvu.PrintTitles" localSheetId="0" hidden="1">'дод 3'!$9:$13</definedName>
    <definedName name="Z_55DE217F_7BCE_4030_A378_BBDB19AA32BC_.wvu.FilterData" localSheetId="0" hidden="1">'дод 3'!#REF!</definedName>
    <definedName name="Z_55DE217F_7BCE_4030_A378_BBDB19AA32BC_.wvu.PrintArea" localSheetId="0" hidden="1">'дод 3'!$C$1:$Q$111</definedName>
    <definedName name="Z_55DE217F_7BCE_4030_A378_BBDB19AA32BC_.wvu.PrintTitles" localSheetId="0" hidden="1">'дод 3'!$9:$13</definedName>
    <definedName name="Z_8C514651_C019_48EB_BC9A_5CF7A7C062C3_.wvu.FilterData" localSheetId="0" hidden="1">'дод 3'!#REF!</definedName>
    <definedName name="Z_8C514651_C019_48EB_BC9A_5CF7A7C062C3_.wvu.PrintArea" localSheetId="0" hidden="1">'дод 3'!$C$1:$Q$111</definedName>
    <definedName name="Z_8C514651_C019_48EB_BC9A_5CF7A7C062C3_.wvu.PrintTitles" localSheetId="0" hidden="1">'дод 3'!$9:$13</definedName>
    <definedName name="Z_A2EE22D5_0D01_4651_974A_DBB0B47E334C_.wvu.FilterData" localSheetId="0" hidden="1">'дод 3'!#REF!</definedName>
    <definedName name="Z_A2EE22D5_0D01_4651_974A_DBB0B47E334C_.wvu.PrintArea" localSheetId="0" hidden="1">'дод 3'!$C$1:$Q$111</definedName>
    <definedName name="Z_A2EE22D5_0D01_4651_974A_DBB0B47E334C_.wvu.PrintTitles" localSheetId="0" hidden="1">'дод 3'!$9:$13</definedName>
    <definedName name="Z_B9ABD3DA_D8E6_4359_B122_CA96965080C7_.wvu.FilterData" localSheetId="0" hidden="1">'дод 3'!#REF!</definedName>
    <definedName name="Z_B9ABD3DA_D8E6_4359_B122_CA96965080C7_.wvu.PrintArea" localSheetId="0" hidden="1">'дод 3'!$C$1:$Q$111</definedName>
    <definedName name="Z_B9ABD3DA_D8E6_4359_B122_CA96965080C7_.wvu.PrintTitles" localSheetId="0" hidden="1">'дод 3'!$9:$13</definedName>
    <definedName name="Z_CEC3A13C_C991_47CB_8169_8518E6DF0FD0_.wvu.FilterData" localSheetId="0" hidden="1">'дод 3'!#REF!</definedName>
    <definedName name="Z_CEC3A13C_C991_47CB_8169_8518E6DF0FD0_.wvu.PrintArea" localSheetId="0" hidden="1">'дод 3'!$C$1:$Q$111</definedName>
    <definedName name="Z_CEC3A13C_C991_47CB_8169_8518E6DF0FD0_.wvu.PrintTitles" localSheetId="0" hidden="1">'дод 3'!$9:$13</definedName>
    <definedName name="Z_D73D0E9B_2717_48D0_8E2C_FF64265ACAB1_.wvu.FilterData" localSheetId="0" hidden="1">'дод 3'!#REF!</definedName>
    <definedName name="Z_D73D0E9B_2717_48D0_8E2C_FF64265ACAB1_.wvu.PrintArea" localSheetId="0" hidden="1">'дод 3'!$C$1:$Q$111</definedName>
    <definedName name="Z_D73D0E9B_2717_48D0_8E2C_FF64265ACAB1_.wvu.PrintTitles" localSheetId="0" hidden="1">'дод 3'!$9:$13</definedName>
    <definedName name="Z_EBAA2E10_33D1_4ABA_B856_04E6905A93CB_.wvu.FilterData" localSheetId="0" hidden="1">'дод 3'!#REF!</definedName>
    <definedName name="Z_EBAA2E10_33D1_4ABA_B856_04E6905A93CB_.wvu.PrintArea" localSheetId="0" hidden="1">'дод 3'!$C$1:$Q$111</definedName>
    <definedName name="Z_EBAA2E10_33D1_4ABA_B856_04E6905A93CB_.wvu.PrintTitles" localSheetId="0" hidden="1">'дод 3'!$9:$13</definedName>
    <definedName name="_xlnm.Print_Titles" localSheetId="0">'дод 3'!$9:$13</definedName>
    <definedName name="_xlnm.Print_Area" localSheetId="0">'дод 3'!$A$1:$Q$113</definedName>
  </definedNames>
  <calcPr calcId="162913" fullCalcOnLoad="1"/>
  <customWorkbookViews>
    <customWorkbookView name="gvm03 - Личное представление" guid="{B9ABD3DA-D8E6-4359-B122-CA96965080C7}" mergeInterval="0" personalView="1" maximized="1" windowWidth="1916" windowHeight="847" tabRatio="945" activeSheetId="7"/>
    <customWorkbookView name="ozom03 - Личное представление" guid="{262A3912-DD70-4B2A-8782-11241825DD41}" mergeInterval="0" personalView="1" maximized="1" windowWidth="1276" windowHeight="848" tabRatio="945" activeSheetId="7"/>
    <customWorkbookView name="jom03 - Личное представление" guid="{EBAA2E10-33D1-4ABA-B856-04E6905A93CB}" mergeInterval="0" personalView="1" maximized="1" windowWidth="1276" windowHeight="800" tabRatio="945" activeSheetId="7"/>
    <customWorkbookView name="iov03 - Личное представление" guid="{55DE217F-7BCE-4030-A378-BBDB19AA32BC}" mergeInterval="0" personalView="1" maximized="1" windowWidth="1276" windowHeight="852" tabRatio="945" activeSheetId="7"/>
    <customWorkbookView name="dsm03 - Личное представление" guid="{D73D0E9B-2717-48D0-8E2C-FF64265ACAB1}" mergeInterval="0" personalView="1" maximized="1" windowWidth="1020" windowHeight="596" tabRatio="945" activeSheetId="6"/>
    <customWorkbookView name="dsv03 - Личное представление" guid="{04AA40B6-9CCF-468B-B9E0-3925FF26B598}" mergeInterval="0" personalView="1" maximized="1" windowWidth="1276" windowHeight="852" tabRatio="945" activeSheetId="7"/>
    <customWorkbookView name="vom03 - Личное представление" guid="{CEC3A13C-C991-47CB-8169-8518E6DF0FD0}" mergeInterval="0" personalView="1" maximized="1" windowWidth="1276" windowHeight="826" tabRatio="945" activeSheetId="7"/>
    <customWorkbookView name="admin - Личное представление" guid="{A2EE22D5-0D01-4651-974A-DBB0B47E334C}" mergeInterval="0" personalView="1" maximized="1" windowWidth="1916" windowHeight="900" tabRatio="945" activeSheetId="7"/>
    <customWorkbookView name="kmv03 - Личное представление" guid="{8C514651-C019-48EB-BC9A-5CF7A7C062C3}" mergeInterval="0" personalView="1" maximized="1" windowWidth="1276" windowHeight="825" tabRatio="945" activeSheetId="7"/>
    <customWorkbookView name="pmv03 - Личное представление" guid="{2C8A675D-81DA-4092-B0A7-BDDA097E8064}" mergeInterval="0" personalView="1" maximized="1" windowWidth="1020" windowHeight="570" tabRatio="945" activeSheetId="7"/>
  </customWorkbookViews>
</workbook>
</file>

<file path=xl/calcChain.xml><?xml version="1.0" encoding="utf-8"?>
<calcChain xmlns="http://schemas.openxmlformats.org/spreadsheetml/2006/main">
  <c r="G56" i="9" l="1"/>
  <c r="H16" i="9"/>
  <c r="G16" i="9"/>
  <c r="G19" i="9"/>
  <c r="F19" i="9" s="1"/>
  <c r="Q19" i="9" s="1"/>
  <c r="P16" i="9"/>
  <c r="G91" i="9"/>
  <c r="I68" i="9"/>
  <c r="G68" i="9"/>
  <c r="F68" i="9" s="1"/>
  <c r="G61" i="9"/>
  <c r="I16" i="9"/>
  <c r="P23" i="9"/>
  <c r="L23" i="9" s="1"/>
  <c r="G88" i="9"/>
  <c r="F88" i="9" s="1"/>
  <c r="Q88" i="9" s="1"/>
  <c r="G83" i="9"/>
  <c r="F83" i="9"/>
  <c r="G72" i="9"/>
  <c r="F72" i="9"/>
  <c r="Q72" i="9"/>
  <c r="H68" i="9"/>
  <c r="G22" i="9"/>
  <c r="F22" i="9"/>
  <c r="G42" i="9"/>
  <c r="F42" i="9" s="1"/>
  <c r="G23" i="9"/>
  <c r="I23" i="9"/>
  <c r="G94" i="9"/>
  <c r="F94" i="9" s="1"/>
  <c r="G90" i="9"/>
  <c r="F90" i="9" s="1"/>
  <c r="Q90" i="9" s="1"/>
  <c r="I63" i="9"/>
  <c r="G63" i="9"/>
  <c r="G32" i="9"/>
  <c r="I22" i="9"/>
  <c r="L65" i="9"/>
  <c r="L66" i="9"/>
  <c r="L67" i="9"/>
  <c r="L69" i="9"/>
  <c r="L70" i="9"/>
  <c r="L71" i="9"/>
  <c r="L72" i="9"/>
  <c r="L73" i="9"/>
  <c r="L74" i="9"/>
  <c r="L75" i="9"/>
  <c r="L76" i="9"/>
  <c r="K65" i="9"/>
  <c r="Q65" i="9" s="1"/>
  <c r="K66" i="9"/>
  <c r="K67" i="9"/>
  <c r="Q67" i="9" s="1"/>
  <c r="P83" i="9"/>
  <c r="K83" i="9" s="1"/>
  <c r="P68" i="9"/>
  <c r="P64" i="9"/>
  <c r="L64" i="9"/>
  <c r="P43" i="9"/>
  <c r="K43" i="9" s="1"/>
  <c r="G64" i="9"/>
  <c r="G43" i="9"/>
  <c r="F43" i="9" s="1"/>
  <c r="H23" i="9"/>
  <c r="G45" i="9"/>
  <c r="F45" i="9" s="1"/>
  <c r="Q45" i="9" s="1"/>
  <c r="H31" i="9"/>
  <c r="G31" i="9"/>
  <c r="F31" i="9" s="1"/>
  <c r="Q31" i="9" s="1"/>
  <c r="H24" i="9"/>
  <c r="H22" i="9"/>
  <c r="H15" i="9" s="1"/>
  <c r="H14" i="9" s="1"/>
  <c r="H111" i="9" s="1"/>
  <c r="H63" i="9"/>
  <c r="H34" i="9"/>
  <c r="G34" i="9"/>
  <c r="H29" i="9"/>
  <c r="H27" i="9"/>
  <c r="G27" i="9"/>
  <c r="I55" i="9"/>
  <c r="H55" i="9"/>
  <c r="G54" i="9"/>
  <c r="F54" i="9" s="1"/>
  <c r="I61" i="9"/>
  <c r="H61" i="9"/>
  <c r="G60" i="9"/>
  <c r="F60" i="9" s="1"/>
  <c r="Q60" i="9" s="1"/>
  <c r="G29" i="9"/>
  <c r="G48" i="9"/>
  <c r="F48" i="9" s="1"/>
  <c r="G47" i="9"/>
  <c r="F47" i="9" s="1"/>
  <c r="Q47" i="9" s="1"/>
  <c r="K25" i="9"/>
  <c r="K26" i="9"/>
  <c r="F25" i="9"/>
  <c r="Q25" i="9" s="1"/>
  <c r="F26" i="9"/>
  <c r="P94" i="9"/>
  <c r="L94" i="9" s="1"/>
  <c r="G105" i="9"/>
  <c r="P81" i="9"/>
  <c r="L81" i="9"/>
  <c r="P77" i="9"/>
  <c r="K77" i="9" s="1"/>
  <c r="P29" i="9"/>
  <c r="K29" i="9" s="1"/>
  <c r="L29" i="9"/>
  <c r="G102" i="9"/>
  <c r="F102" i="9" s="1"/>
  <c r="F65" i="9"/>
  <c r="F66" i="9"/>
  <c r="Q66" i="9" s="1"/>
  <c r="F67" i="9"/>
  <c r="F23" i="9"/>
  <c r="P110" i="9"/>
  <c r="P104" i="9" s="1"/>
  <c r="P103" i="9" s="1"/>
  <c r="O104" i="9"/>
  <c r="N104" i="9"/>
  <c r="M104" i="9"/>
  <c r="M103" i="9" s="1"/>
  <c r="L109" i="9"/>
  <c r="J104" i="9"/>
  <c r="J103" i="9" s="1"/>
  <c r="I104" i="9"/>
  <c r="H104" i="9"/>
  <c r="H103" i="9" s="1"/>
  <c r="K109" i="9"/>
  <c r="F109" i="9"/>
  <c r="F110" i="9"/>
  <c r="G89" i="9"/>
  <c r="F89" i="9" s="1"/>
  <c r="Q89" i="9" s="1"/>
  <c r="P90" i="9"/>
  <c r="K90" i="9"/>
  <c r="F97" i="9"/>
  <c r="Q97" i="9" s="1"/>
  <c r="F98" i="9"/>
  <c r="F99" i="9"/>
  <c r="F100" i="9"/>
  <c r="Q100" i="9" s="1"/>
  <c r="L97" i="9"/>
  <c r="L98" i="9"/>
  <c r="L99" i="9"/>
  <c r="L100" i="9"/>
  <c r="K97" i="9"/>
  <c r="K98" i="9"/>
  <c r="K99" i="9"/>
  <c r="Q99" i="9" s="1"/>
  <c r="K100" i="9"/>
  <c r="P87" i="9"/>
  <c r="K87" i="9" s="1"/>
  <c r="L87" i="9"/>
  <c r="L84" i="9"/>
  <c r="L85" i="9"/>
  <c r="K84" i="9"/>
  <c r="Q84" i="9"/>
  <c r="K85" i="9"/>
  <c r="F84" i="9"/>
  <c r="F87" i="9"/>
  <c r="Q87" i="9" s="1"/>
  <c r="P78" i="9"/>
  <c r="K78" i="9"/>
  <c r="H89" i="9"/>
  <c r="G71" i="9"/>
  <c r="F71" i="9" s="1"/>
  <c r="I29" i="9"/>
  <c r="F29" i="9"/>
  <c r="Q29" i="9" s="1"/>
  <c r="L93" i="9"/>
  <c r="F56" i="9"/>
  <c r="Q56" i="9"/>
  <c r="G52" i="9"/>
  <c r="F52" i="9" s="1"/>
  <c r="Q52" i="9" s="1"/>
  <c r="G93" i="9"/>
  <c r="F93" i="9"/>
  <c r="G108" i="9"/>
  <c r="G104" i="9" s="1"/>
  <c r="G103" i="9" s="1"/>
  <c r="K93" i="9"/>
  <c r="Q93" i="9" s="1"/>
  <c r="F108" i="9"/>
  <c r="Q108" i="9" s="1"/>
  <c r="G92" i="9"/>
  <c r="F92" i="9"/>
  <c r="Q92" i="9" s="1"/>
  <c r="L54" i="9"/>
  <c r="L92" i="9"/>
  <c r="G24" i="9"/>
  <c r="F24" i="9"/>
  <c r="K92" i="9"/>
  <c r="G55" i="9"/>
  <c r="F55" i="9" s="1"/>
  <c r="Q55" i="9" s="1"/>
  <c r="F63" i="9"/>
  <c r="I60" i="9"/>
  <c r="F61" i="9"/>
  <c r="K73" i="9"/>
  <c r="K74" i="9"/>
  <c r="K75" i="9"/>
  <c r="Q75" i="9" s="1"/>
  <c r="K76" i="9"/>
  <c r="F73" i="9"/>
  <c r="Q73" i="9"/>
  <c r="F74" i="9"/>
  <c r="Q74" i="9" s="1"/>
  <c r="F75" i="9"/>
  <c r="F76" i="9"/>
  <c r="Q76" i="9" s="1"/>
  <c r="G40" i="9"/>
  <c r="F40" i="9"/>
  <c r="P40" i="9"/>
  <c r="K40" i="9" s="1"/>
  <c r="Q40" i="9" s="1"/>
  <c r="H40" i="9"/>
  <c r="H32" i="9"/>
  <c r="F32" i="9"/>
  <c r="Q32" i="9" s="1"/>
  <c r="I89" i="9"/>
  <c r="I34" i="9"/>
  <c r="I15" i="9" s="1"/>
  <c r="I14" i="9" s="1"/>
  <c r="I111" i="9" s="1"/>
  <c r="F34" i="9"/>
  <c r="Q34" i="9" s="1"/>
  <c r="K54" i="9"/>
  <c r="Q54" i="9"/>
  <c r="G53" i="9"/>
  <c r="F53" i="9"/>
  <c r="Q53" i="9"/>
  <c r="P79" i="9"/>
  <c r="K79" i="9" s="1"/>
  <c r="K102" i="9"/>
  <c r="J15" i="9"/>
  <c r="J14" i="9" s="1"/>
  <c r="F77" i="9"/>
  <c r="Q77" i="9"/>
  <c r="F64" i="9"/>
  <c r="L80" i="9"/>
  <c r="K80" i="9"/>
  <c r="F80" i="9"/>
  <c r="Q80" i="9" s="1"/>
  <c r="F78" i="9"/>
  <c r="M23" i="9"/>
  <c r="K23" i="9" s="1"/>
  <c r="Q23" i="9" s="1"/>
  <c r="M22" i="9"/>
  <c r="K22" i="9" s="1"/>
  <c r="Q22" i="9" s="1"/>
  <c r="L51" i="9"/>
  <c r="L52" i="9"/>
  <c r="L88" i="9"/>
  <c r="L89" i="9"/>
  <c r="M61" i="9"/>
  <c r="K61" i="9"/>
  <c r="Q61" i="9"/>
  <c r="F59" i="9"/>
  <c r="L39" i="9"/>
  <c r="F30" i="9"/>
  <c r="K30" i="9"/>
  <c r="Q30" i="9" s="1"/>
  <c r="L30" i="9"/>
  <c r="K89" i="9"/>
  <c r="K41" i="9"/>
  <c r="Q41" i="9" s="1"/>
  <c r="L36" i="9"/>
  <c r="L37" i="9"/>
  <c r="K36" i="9"/>
  <c r="Q36" i="9" s="1"/>
  <c r="K37" i="9"/>
  <c r="F36" i="9"/>
  <c r="F37" i="9"/>
  <c r="Q37" i="9" s="1"/>
  <c r="F46" i="9"/>
  <c r="F44" i="9"/>
  <c r="K69" i="9"/>
  <c r="K70" i="9"/>
  <c r="F69" i="9"/>
  <c r="Q69" i="9" s="1"/>
  <c r="F70" i="9"/>
  <c r="Q70" i="9"/>
  <c r="G85" i="9"/>
  <c r="F85" i="9" s="1"/>
  <c r="Q85" i="9" s="1"/>
  <c r="K59" i="9"/>
  <c r="Q59" i="9"/>
  <c r="I103" i="9"/>
  <c r="N103" i="9"/>
  <c r="O103" i="9"/>
  <c r="K88" i="9"/>
  <c r="F81" i="9"/>
  <c r="Q81" i="9" s="1"/>
  <c r="L35" i="9"/>
  <c r="K35" i="9"/>
  <c r="Q35" i="9" s="1"/>
  <c r="F35" i="9"/>
  <c r="L38" i="9"/>
  <c r="F39" i="9"/>
  <c r="K38" i="9"/>
  <c r="K39" i="9"/>
  <c r="Q39" i="9"/>
  <c r="F38" i="9"/>
  <c r="Q38" i="9" s="1"/>
  <c r="K51" i="9"/>
  <c r="K52" i="9"/>
  <c r="F51" i="9"/>
  <c r="Q51" i="9"/>
  <c r="F79" i="9"/>
  <c r="L25" i="9"/>
  <c r="L27" i="9"/>
  <c r="L28" i="9"/>
  <c r="L31" i="9"/>
  <c r="L33" i="9"/>
  <c r="L34" i="9"/>
  <c r="L41" i="9"/>
  <c r="L42" i="9"/>
  <c r="L44" i="9"/>
  <c r="L45" i="9"/>
  <c r="L46" i="9"/>
  <c r="L47" i="9"/>
  <c r="L48" i="9"/>
  <c r="L49" i="9"/>
  <c r="L50" i="9"/>
  <c r="L53" i="9"/>
  <c r="L55" i="9"/>
  <c r="L56" i="9"/>
  <c r="L57" i="9"/>
  <c r="L58" i="9"/>
  <c r="L60" i="9"/>
  <c r="L61" i="9"/>
  <c r="L62" i="9"/>
  <c r="L63" i="9"/>
  <c r="L90" i="9"/>
  <c r="L91" i="9"/>
  <c r="L95" i="9"/>
  <c r="L96" i="9"/>
  <c r="L102" i="9"/>
  <c r="F41" i="9"/>
  <c r="L32" i="9"/>
  <c r="K33" i="9"/>
  <c r="Q33" i="9" s="1"/>
  <c r="F33" i="9"/>
  <c r="K71" i="9"/>
  <c r="K72" i="9"/>
  <c r="N15" i="9"/>
  <c r="N14" i="9"/>
  <c r="N111" i="9" s="1"/>
  <c r="O15" i="9"/>
  <c r="O14" i="9"/>
  <c r="O111" i="9"/>
  <c r="K31" i="9"/>
  <c r="K62" i="9"/>
  <c r="F62" i="9"/>
  <c r="Q62" i="9"/>
  <c r="K55" i="9"/>
  <c r="K45" i="9"/>
  <c r="L108" i="9"/>
  <c r="L107" i="9"/>
  <c r="L105" i="9"/>
  <c r="K107" i="9"/>
  <c r="Q107" i="9"/>
  <c r="K108" i="9"/>
  <c r="K57" i="9"/>
  <c r="K58" i="9"/>
  <c r="F58" i="9"/>
  <c r="Q58" i="9" s="1"/>
  <c r="F57" i="9"/>
  <c r="Q57" i="9"/>
  <c r="F107" i="9"/>
  <c r="L17" i="9"/>
  <c r="L18" i="9"/>
  <c r="L19" i="9"/>
  <c r="L20" i="9"/>
  <c r="L24" i="9"/>
  <c r="K24" i="9"/>
  <c r="Q24" i="9"/>
  <c r="K34" i="9"/>
  <c r="Q28" i="9"/>
  <c r="K27" i="9"/>
  <c r="K42" i="9"/>
  <c r="K44" i="9"/>
  <c r="K46" i="9"/>
  <c r="Q46" i="9"/>
  <c r="K47" i="9"/>
  <c r="K48" i="9"/>
  <c r="K49" i="9"/>
  <c r="K50" i="9"/>
  <c r="Q50" i="9" s="1"/>
  <c r="K53" i="9"/>
  <c r="K56" i="9"/>
  <c r="K60" i="9"/>
  <c r="K63" i="9"/>
  <c r="Q63" i="9" s="1"/>
  <c r="K91" i="9"/>
  <c r="K95" i="9"/>
  <c r="K96" i="9"/>
  <c r="F17" i="9"/>
  <c r="Q17" i="9" s="1"/>
  <c r="F18" i="9"/>
  <c r="Q48" i="9"/>
  <c r="F49" i="9"/>
  <c r="Q49" i="9" s="1"/>
  <c r="F50" i="9"/>
  <c r="F91" i="9"/>
  <c r="Q91" i="9" s="1"/>
  <c r="F95" i="9"/>
  <c r="Q95" i="9" s="1"/>
  <c r="F96" i="9"/>
  <c r="Q96" i="9"/>
  <c r="K105" i="9"/>
  <c r="F105" i="9"/>
  <c r="K19" i="9"/>
  <c r="K20" i="9"/>
  <c r="Q20" i="9" s="1"/>
  <c r="K17" i="9"/>
  <c r="K18" i="9"/>
  <c r="Q18" i="9"/>
  <c r="L22" i="9"/>
  <c r="F27" i="9"/>
  <c r="Q27" i="9"/>
  <c r="K32" i="9"/>
  <c r="L79" i="9"/>
  <c r="K81" i="9"/>
  <c r="F16" i="9"/>
  <c r="Q26" i="9"/>
  <c r="Q102" i="9"/>
  <c r="L40" i="9"/>
  <c r="L16" i="9"/>
  <c r="L77" i="9"/>
  <c r="L78" i="9"/>
  <c r="Q78" i="9"/>
  <c r="Q98" i="9"/>
  <c r="Q109" i="9"/>
  <c r="Q105" i="9"/>
  <c r="M15" i="9"/>
  <c r="K110" i="9"/>
  <c r="Q110" i="9" s="1"/>
  <c r="K64" i="9"/>
  <c r="Q64" i="9" s="1"/>
  <c r="Q44" i="9"/>
  <c r="L68" i="9"/>
  <c r="K68" i="9"/>
  <c r="K16" i="9"/>
  <c r="Q68" i="9" l="1"/>
  <c r="L15" i="9"/>
  <c r="L14" i="9" s="1"/>
  <c r="Q16" i="9"/>
  <c r="F15" i="9"/>
  <c r="M14" i="9"/>
  <c r="M111" i="9" s="1"/>
  <c r="K15" i="9"/>
  <c r="K14" i="9" s="1"/>
  <c r="K111" i="9" s="1"/>
  <c r="K104" i="9"/>
  <c r="K103" i="9" s="1"/>
  <c r="J111" i="9"/>
  <c r="Q71" i="9"/>
  <c r="Q43" i="9"/>
  <c r="Q83" i="9"/>
  <c r="Q79" i="9"/>
  <c r="Q104" i="9"/>
  <c r="Q42" i="9"/>
  <c r="P15" i="9"/>
  <c r="P14" i="9" s="1"/>
  <c r="P111" i="9" s="1"/>
  <c r="L110" i="9"/>
  <c r="L104" i="9" s="1"/>
  <c r="L103" i="9" s="1"/>
  <c r="G15" i="9"/>
  <c r="G14" i="9" s="1"/>
  <c r="G111" i="9" s="1"/>
  <c r="F104" i="9"/>
  <c r="F103" i="9" s="1"/>
  <c r="Q103" i="9" s="1"/>
  <c r="L83" i="9"/>
  <c r="L43" i="9"/>
  <c r="K94" i="9"/>
  <c r="Q94" i="9" s="1"/>
  <c r="L111" i="9" l="1"/>
  <c r="Q15" i="9"/>
  <c r="F14" i="9"/>
  <c r="F111" i="9" l="1"/>
  <c r="Q14" i="9"/>
  <c r="Q111" i="9" s="1"/>
</calcChain>
</file>

<file path=xl/sharedStrings.xml><?xml version="1.0" encoding="utf-8"?>
<sst xmlns="http://schemas.openxmlformats.org/spreadsheetml/2006/main" count="332" uniqueCount="264">
  <si>
    <t>з них</t>
  </si>
  <si>
    <t>оплата праці</t>
  </si>
  <si>
    <t>комунальні послуги та енергоносії</t>
  </si>
  <si>
    <t>Разом</t>
  </si>
  <si>
    <t>0100000</t>
  </si>
  <si>
    <t>Код програмної класифікації видатків та кредитування місцевих бюджетів (КПКВК)</t>
  </si>
  <si>
    <t>видатки споживання</t>
  </si>
  <si>
    <t>видатки розвитку</t>
  </si>
  <si>
    <t>16=5+10</t>
  </si>
  <si>
    <t>Загальний фонд</t>
  </si>
  <si>
    <t>Спеціальний фонд</t>
  </si>
  <si>
    <t>грн.</t>
  </si>
  <si>
    <t>2010</t>
  </si>
  <si>
    <t>0731</t>
  </si>
  <si>
    <t>0726</t>
  </si>
  <si>
    <t>0763</t>
  </si>
  <si>
    <t>0111</t>
  </si>
  <si>
    <t>0110170</t>
  </si>
  <si>
    <t>0133</t>
  </si>
  <si>
    <t>1011010</t>
  </si>
  <si>
    <t>1010</t>
  </si>
  <si>
    <t>0910</t>
  </si>
  <si>
    <t>1011020</t>
  </si>
  <si>
    <t>1020</t>
  </si>
  <si>
    <t>0921</t>
  </si>
  <si>
    <t>1011090</t>
  </si>
  <si>
    <t>1090</t>
  </si>
  <si>
    <t>0960</t>
  </si>
  <si>
    <t>0990</t>
  </si>
  <si>
    <t>1040</t>
  </si>
  <si>
    <t>0810</t>
  </si>
  <si>
    <t>1030</t>
  </si>
  <si>
    <t>1070</t>
  </si>
  <si>
    <t>Надання пільг окремим категоріям громадян з оплати послуг зв'язку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</si>
  <si>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</si>
  <si>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</si>
  <si>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Компенсаційні виплати на пільговий проїзд автомобільним транспортом окремим категоріям громадян</t>
  </si>
  <si>
    <t>4060</t>
  </si>
  <si>
    <t>0828</t>
  </si>
  <si>
    <t>0824</t>
  </si>
  <si>
    <t>3031</t>
  </si>
  <si>
    <t>Багатопрофільна стаціонарна медична допомога населенню</t>
  </si>
  <si>
    <t>Утримання та навчально-тренувальна робота комунальних дитячо-юнацьких спортивних шкіл</t>
  </si>
  <si>
    <t>3033</t>
  </si>
  <si>
    <t>0312180</t>
  </si>
  <si>
    <t>0312010</t>
  </si>
  <si>
    <t>0110000</t>
  </si>
  <si>
    <t>2416310</t>
  </si>
  <si>
    <t>0490</t>
  </si>
  <si>
    <t>7610000</t>
  </si>
  <si>
    <t>5031</t>
  </si>
  <si>
    <t>5041</t>
  </si>
  <si>
    <t>7600000</t>
  </si>
  <si>
    <t>0316650</t>
  </si>
  <si>
    <t>0180</t>
  </si>
  <si>
    <t>0312214</t>
  </si>
  <si>
    <t>0150</t>
  </si>
  <si>
    <t>0110150</t>
  </si>
  <si>
    <t>3700000</t>
  </si>
  <si>
    <t>2111</t>
  </si>
  <si>
    <t>2144</t>
  </si>
  <si>
    <t>3032</t>
  </si>
  <si>
    <t>4030</t>
  </si>
  <si>
    <t>3710000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</si>
  <si>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</si>
  <si>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</si>
  <si>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Надання дошкільної освіти</t>
  </si>
  <si>
    <t>Первинна медична допомога населенню, що надається центрами первинної медичної (медико-санітарної) допомоги</t>
  </si>
  <si>
    <t>3192</t>
  </si>
  <si>
    <t>8110</t>
  </si>
  <si>
    <t>0320</t>
  </si>
  <si>
    <t>Надання інших пільг окремим категоріям громадян відповідно до законодавства</t>
  </si>
  <si>
    <t>0110180</t>
  </si>
  <si>
    <t>1017363</t>
  </si>
  <si>
    <t>Виконання інвестиційних проектів в рамках здійснення заходів щодо соціально-економічного розвитку окремих територій</t>
  </si>
  <si>
    <t>3112</t>
  </si>
  <si>
    <t>Заходи державної політики з питань дітей та їх соціального захисту</t>
  </si>
  <si>
    <t>усього</t>
  </si>
  <si>
    <t>у тому числі бюджет розвитку</t>
  </si>
  <si>
    <t>х</t>
  </si>
  <si>
    <t>УСЬОГО</t>
  </si>
  <si>
    <t>3242</t>
  </si>
  <si>
    <t>Код Функціональ-ної класифікації видатків та кредитування бюджету</t>
  </si>
  <si>
    <t>(код бюджету)</t>
  </si>
  <si>
    <t>Надання позашкільної освіти  закладами позашкільної освіти, заходи із позашкільної роботи з дітьми</t>
  </si>
  <si>
    <t xml:space="preserve">Централізовані заходи з лікування хворих на цукровий та нецукровий діабет </t>
  </si>
  <si>
    <t>Додаток 3</t>
  </si>
  <si>
    <t>0160</t>
  </si>
  <si>
    <t>0112010</t>
  </si>
  <si>
    <t>0112111</t>
  </si>
  <si>
    <t>0112144</t>
  </si>
  <si>
    <t>0118110</t>
  </si>
  <si>
    <t>0111010</t>
  </si>
  <si>
    <t>0113031</t>
  </si>
  <si>
    <t>0113032</t>
  </si>
  <si>
    <t>0113033</t>
  </si>
  <si>
    <t>0113104</t>
  </si>
  <si>
    <t>0113112</t>
  </si>
  <si>
    <t>0113192</t>
  </si>
  <si>
    <t>0113242</t>
  </si>
  <si>
    <t>0114030</t>
  </si>
  <si>
    <t>0114060</t>
  </si>
  <si>
    <t>0115031</t>
  </si>
  <si>
    <t>0115041</t>
  </si>
  <si>
    <t>0116030</t>
  </si>
  <si>
    <t>0117461</t>
  </si>
  <si>
    <t>0118130</t>
  </si>
  <si>
    <t>0118311</t>
  </si>
  <si>
    <t>0118312</t>
  </si>
  <si>
    <t>6030</t>
  </si>
  <si>
    <t>7461</t>
  </si>
  <si>
    <t>8130</t>
  </si>
  <si>
    <t>8311</t>
  </si>
  <si>
    <t>8312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</si>
  <si>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</si>
  <si>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</si>
  <si>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0620</t>
  </si>
  <si>
    <t>0456</t>
  </si>
  <si>
    <t>0511</t>
  </si>
  <si>
    <t>0512</t>
  </si>
  <si>
    <t>3710160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</si>
  <si>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</si>
  <si>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територіальних громадах</t>
  </si>
  <si>
    <t>0111021</t>
  </si>
  <si>
    <t>0111031</t>
  </si>
  <si>
    <t>1031</t>
  </si>
  <si>
    <t>Надання загальної середньої освіти закладами загальної середньої освіти (за рахунок освітньої субвенції)</t>
  </si>
  <si>
    <t>Надання загальної середньої освіти закладами загальної середньої освіти</t>
  </si>
  <si>
    <t>0111070</t>
  </si>
  <si>
    <t>0111080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</si>
  <si>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</si>
  <si>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</si>
  <si>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</si>
  <si>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0111160</t>
  </si>
  <si>
    <t>1160</t>
  </si>
  <si>
    <t>Забезпечення діяльності центрів професійного розвитку педагогічних працівників</t>
  </si>
  <si>
    <t>0111200</t>
  </si>
  <si>
    <t>1200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</si>
  <si>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</si>
  <si>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</si>
  <si>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3718710</t>
  </si>
  <si>
    <t>Резервний фонд місцевого бюджету</t>
  </si>
  <si>
    <t>Теофіпольська селищна територіальна громада (головний розпорядник коштів)</t>
  </si>
  <si>
    <t>Теофіпольська селищна територіальна громада (відповідальний виконавець)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</si>
  <si>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</si>
  <si>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</si>
  <si>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</t>
  </si>
  <si>
    <t xml:space="preserve"> відповідального виконавця, найменування бюджетної програми згідно з Типовою програмною класифікацією видатків та кредитування  місцевого бюджету</t>
  </si>
  <si>
    <t>1021</t>
  </si>
  <si>
    <t>Відділ фінансів Теофіпольської селищної ради (головний розпорядник коштів)</t>
  </si>
  <si>
    <t>Відділ фінансів Теофіпольської селищної ради (відповідальний виконавець)</t>
  </si>
  <si>
    <t>2146</t>
  </si>
  <si>
    <t>Відшкодування вартості лікарських засобів для лікування окремих захворювань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</si>
  <si>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</si>
  <si>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</si>
  <si>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</si>
  <si>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0112146</t>
  </si>
  <si>
    <t xml:space="preserve">Інші заходи у сфері соціального захисту і соціального забезпечення                 </t>
  </si>
  <si>
    <t>0111130</t>
  </si>
  <si>
    <t>Методичне забезпечення діяльності закладів освіти</t>
  </si>
  <si>
    <t>0111141</t>
  </si>
  <si>
    <t>Забезпечення діяльності інших закладів у сфері освіти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</si>
  <si>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</si>
  <si>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</si>
  <si>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</si>
  <si>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</si>
  <si>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</si>
  <si>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</si>
  <si>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0111061</t>
  </si>
  <si>
    <t>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</si>
  <si>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</si>
  <si>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0117130</t>
  </si>
  <si>
    <t>7130</t>
  </si>
  <si>
    <t>Здійснення заходів із землеустрою</t>
  </si>
  <si>
    <t>0421</t>
  </si>
  <si>
    <t>0116090</t>
  </si>
  <si>
    <t>6090</t>
  </si>
  <si>
    <t>Інша діяльність у сфері житлово - комунального господарства</t>
  </si>
  <si>
    <t>0640</t>
  </si>
  <si>
    <t>0111154</t>
  </si>
  <si>
    <t>1154</t>
  </si>
  <si>
    <t xml:space="preserve"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 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</si>
  <si>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</si>
  <si>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</si>
  <si>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</si>
  <si>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0117363</t>
  </si>
  <si>
    <t>7363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</si>
  <si>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</si>
  <si>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</si>
  <si>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</si>
  <si>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0111181</t>
  </si>
  <si>
    <t>1181</t>
  </si>
  <si>
    <t>0111182</t>
  </si>
  <si>
    <t>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</si>
  <si>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</si>
  <si>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</si>
  <si>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0119770</t>
  </si>
  <si>
    <t>Інші субвенції з місцевого бюджету</t>
  </si>
  <si>
    <t>0111171</t>
  </si>
  <si>
    <t>0111172</t>
  </si>
  <si>
    <t>1171</t>
  </si>
  <si>
    <t>1172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</si>
  <si>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</si>
  <si>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</si>
  <si>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0117390</t>
  </si>
  <si>
    <t>Розвиток мережі центрів надання адміністративних послуг</t>
  </si>
  <si>
    <t>3719770</t>
  </si>
  <si>
    <t>0117680</t>
  </si>
  <si>
    <t>7680</t>
  </si>
  <si>
    <t>Членські внески до асоціацій органів місцевого самоврядування</t>
  </si>
  <si>
    <t>0117670</t>
  </si>
  <si>
    <t>7670</t>
  </si>
  <si>
    <t>Внески до статутного капіталу суб'єктів господарювання</t>
  </si>
  <si>
    <t>0117150</t>
  </si>
  <si>
    <t>7150</t>
  </si>
  <si>
    <t>0422</t>
  </si>
  <si>
    <t>Реалізація програм у галузі лісового господарства і мисливства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</si>
  <si>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</si>
  <si>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</si>
  <si>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</si>
  <si>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0610</t>
  </si>
  <si>
    <t>0117693</t>
  </si>
  <si>
    <t>Інші заходи, пов'язані з економічною діяльністю</t>
  </si>
  <si>
    <t>0117650</t>
  </si>
  <si>
    <t>7650</t>
  </si>
  <si>
    <t>Проведення експертної грошової оцінки земельної ділянки чи права на неї</t>
  </si>
  <si>
    <t xml:space="preserve">Розподіл видатків селищного бюджету на 2022 рік </t>
  </si>
  <si>
    <t>Надання спеціалізованої освіти мистецькими школами</t>
  </si>
  <si>
    <t>Інша діяльність у сфері державного управління</t>
  </si>
  <si>
    <t xml:space="preserve">Утримання та фінансова підтримка спортивних споруд                                          </t>
  </si>
  <si>
    <t>Заходи із запобігання та ліквідації надзвичайних ситуацій та  наслідків стихійного лиха</t>
  </si>
  <si>
    <t xml:space="preserve">Охорона та раціональне використання природних ресурсів                                  </t>
  </si>
  <si>
    <t>Утилізація відходів</t>
  </si>
  <si>
    <t>0117361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</si>
  <si>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</si>
  <si>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</si>
  <si>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0117380</t>
  </si>
  <si>
    <t>7380</t>
  </si>
  <si>
    <t>Виконання інвестиційних проектів за рахунок інших субвенцій з державного бюджету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</si>
  <si>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</si>
  <si>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</si>
  <si>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</si>
  <si>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</si>
  <si>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0118240</t>
  </si>
  <si>
    <t>8240</t>
  </si>
  <si>
    <t>0380</t>
  </si>
  <si>
    <t>Заходи та роботи з територіальної оборони</t>
  </si>
  <si>
    <t>0113230</t>
  </si>
  <si>
    <t>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</si>
  <si>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</si>
  <si>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Забезпечення діяльності місцевої та добровільної пожежної охорони</t>
  </si>
  <si>
    <t>Начальник відділу фінансів                                                                                                 Людмила ФЛЕРЧУК</t>
  </si>
  <si>
    <t>Заходи та роботи з мобілізаційної підготовки місцевого значення</t>
  </si>
  <si>
    <t>0118220</t>
  </si>
  <si>
    <t>8220</t>
  </si>
  <si>
    <t>0118230</t>
  </si>
  <si>
    <t>8230</t>
  </si>
  <si>
    <t>Інші заходи громадського порядку та безпеки</t>
  </si>
  <si>
    <t>01117670</t>
  </si>
  <si>
    <t>0116011</t>
  </si>
  <si>
    <t>6011</t>
  </si>
  <si>
    <t>Експлуатація та технічне обслуговування житлового фонду</t>
  </si>
  <si>
    <t xml:space="preserve"> до рішення селищної ради  </t>
  </si>
  <si>
    <t xml:space="preserve">23 грудня 2022 року 
№13-28/2022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</si>
</sst>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4" formatCode="_-* #,##0.00\ &quot;грн.&quot;_-;\-* #,##0.00\ &quot;грн.&quot;_-;_-* &quot;-&quot;??\ &quot;грн.&quot;_-;_-@_-"/>
    <numFmt numFmtId="201" formatCode="0.0"/>
  </numFmts>
  <fonts count="21" x14ac:knownFonts="1">
    <font>
      <sz val="10"/>
      <color indexed="8"/>
      <name val="MS Sans Serif"/>
      <charset val="204"/>
    </font>
    <font>
      <b/>
      <sz val="8.0500000000000007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 Cyr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0" fontId="15" fillId="0" borderId="0"/>
  </cellStyleXfs>
  <cellXfs count="110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1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01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NumberFormat="1" applyFont="1" applyFill="1" applyBorder="1" applyAlignment="1" applyProtection="1">
      <alignment horizontal="justify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194" fontId="14" fillId="0" borderId="0" xfId="1" applyFont="1" applyFill="1" applyBorder="1" applyAlignment="1" applyProtection="1">
      <alignment vertical="center"/>
    </xf>
    <xf numFmtId="0" fontId="13" fillId="0" borderId="0" xfId="0" applyNumberFormat="1" applyFont="1" applyFill="1" applyAlignment="1" applyProtection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left" vertical="center" wrapText="1"/>
    </xf>
    <xf numFmtId="194" fontId="14" fillId="0" borderId="0" xfId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4" fontId="17" fillId="3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9" fillId="4" borderId="1" xfId="0" applyNumberFormat="1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5" xfId="0" applyNumberFormat="1" applyFont="1" applyFill="1" applyBorder="1" applyAlignment="1" applyProtection="1">
      <alignment horizontal="center" vertical="center" wrapText="1" shrinkToFit="1"/>
    </xf>
    <xf numFmtId="0" fontId="2" fillId="0" borderId="4" xfId="0" applyNumberFormat="1" applyFont="1" applyFill="1" applyBorder="1" applyAlignment="1" applyProtection="1">
      <alignment horizontal="center" vertical="center" wrapText="1" shrinkToFit="1"/>
    </xf>
    <xf numFmtId="0" fontId="20" fillId="0" borderId="2" xfId="0" applyFont="1" applyBorder="1" applyAlignment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5" xfId="0" applyNumberFormat="1" applyFont="1" applyFill="1" applyBorder="1" applyAlignment="1" applyProtection="1">
      <alignment horizontal="center" vertical="center" wrapText="1" shrinkToFit="1"/>
    </xf>
    <xf numFmtId="0" fontId="9" fillId="0" borderId="4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 shrinkToFit="1"/>
    </xf>
    <xf numFmtId="0" fontId="3" fillId="0" borderId="5" xfId="0" applyNumberFormat="1" applyFont="1" applyFill="1" applyBorder="1" applyAlignment="1" applyProtection="1">
      <alignment horizontal="center" vertical="center" wrapText="1" shrinkToFit="1"/>
    </xf>
    <xf numFmtId="0" fontId="3" fillId="0" borderId="4" xfId="0" applyNumberFormat="1" applyFont="1" applyFill="1" applyBorder="1" applyAlignment="1" applyProtection="1">
      <alignment horizontal="center" vertical="center" wrapText="1" shrinkToFit="1"/>
    </xf>
    <xf numFmtId="0" fontId="7" fillId="4" borderId="3" xfId="0" applyNumberFormat="1" applyFont="1" applyFill="1" applyBorder="1" applyAlignment="1" applyProtection="1">
      <alignment horizontal="center" vertical="center"/>
    </xf>
    <xf numFmtId="0" fontId="7" fillId="4" borderId="5" xfId="0" applyNumberFormat="1" applyFont="1" applyFill="1" applyBorder="1" applyAlignment="1" applyProtection="1">
      <alignment horizontal="center" vertical="center"/>
    </xf>
    <xf numFmtId="0" fontId="7" fillId="4" borderId="4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  <pageSetUpPr fitToPage="1"/>
  </sheetPr>
  <dimension ref="A1:Q124"/>
  <sheetViews>
    <sheetView tabSelected="1" view="pageBreakPreview" topLeftCell="B1" zoomScale="75" zoomScaleNormal="75" zoomScaleSheetLayoutView="75" workbookViewId="0">
      <pane xSplit="4" topLeftCell="J1" activePane="topRight" state="frozen"/>
      <selection activeCell="B47" sqref="B47"/>
      <selection pane="topRight" activeCell="J119" sqref="J118:J119"/>
    </sheetView>
  </sheetViews>
  <sheetFormatPr defaultRowHeight="12.75" x14ac:dyDescent="0.2"/>
  <cols>
    <col min="1" max="1" width="14.28515625" style="1" hidden="1" customWidth="1"/>
    <col min="2" max="2" width="13.140625" style="18" customWidth="1"/>
    <col min="3" max="3" width="13" style="18" customWidth="1"/>
    <col min="4" max="4" width="12.140625" style="18" customWidth="1"/>
    <col min="5" max="5" width="70" style="1" customWidth="1"/>
    <col min="6" max="6" width="17.7109375" style="8" customWidth="1"/>
    <col min="7" max="7" width="16.28515625" style="8" customWidth="1"/>
    <col min="8" max="8" width="15.7109375" style="8" customWidth="1"/>
    <col min="9" max="9" width="16.85546875" style="8" customWidth="1"/>
    <col min="10" max="10" width="13.140625" style="1" customWidth="1"/>
    <col min="11" max="11" width="15.5703125" style="10" customWidth="1"/>
    <col min="12" max="12" width="14.5703125" style="10" customWidth="1"/>
    <col min="13" max="13" width="15.140625" style="8" customWidth="1"/>
    <col min="14" max="14" width="13" style="8" customWidth="1"/>
    <col min="15" max="15" width="14.7109375" style="8" customWidth="1"/>
    <col min="16" max="16" width="14.140625" style="8" customWidth="1"/>
    <col min="17" max="17" width="22.5703125" style="3" customWidth="1"/>
    <col min="18" max="16384" width="9.140625" style="1"/>
  </cols>
  <sheetData>
    <row r="1" spans="1:17" ht="9.6" hidden="1" customHeight="1" x14ac:dyDescent="0.2">
      <c r="B1" s="1"/>
      <c r="C1" s="1"/>
      <c r="D1" s="1"/>
    </row>
    <row r="2" spans="1:17" ht="12" customHeight="1" x14ac:dyDescent="0.25">
      <c r="B2" s="1"/>
      <c r="C2" s="1"/>
      <c r="D2" s="1"/>
      <c r="O2" s="56" t="s">
        <v>86</v>
      </c>
      <c r="P2" s="47"/>
    </row>
    <row r="3" spans="1:17" ht="15.75" x14ac:dyDescent="0.2">
      <c r="B3" s="1"/>
      <c r="C3" s="1"/>
      <c r="D3" s="1"/>
      <c r="O3" s="55" t="s">
        <v>262</v>
      </c>
      <c r="P3" s="45"/>
    </row>
    <row r="4" spans="1:17" ht="44.25" customHeight="1" x14ac:dyDescent="0.2">
      <c r="B4" s="1"/>
      <c r="C4" s="1"/>
      <c r="D4" s="1"/>
      <c r="O4" s="81" t="s">
        <v>263</v>
      </c>
      <c r="P4" s="81"/>
    </row>
    <row r="5" spans="1:17" ht="15.75" x14ac:dyDescent="0.2">
      <c r="B5" s="1"/>
      <c r="C5" s="1"/>
      <c r="D5" s="1"/>
      <c r="K5" s="11"/>
      <c r="O5" s="57"/>
      <c r="P5" s="46"/>
    </row>
    <row r="6" spans="1:17" ht="18.75" x14ac:dyDescent="0.2">
      <c r="A6" s="101" t="s">
        <v>226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ht="18.75" x14ac:dyDescent="0.25">
      <c r="A7" s="44"/>
      <c r="B7" s="108">
        <v>22563000000</v>
      </c>
      <c r="C7" s="108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5.75" x14ac:dyDescent="0.2">
      <c r="B8" s="94" t="s">
        <v>83</v>
      </c>
      <c r="C8" s="94"/>
      <c r="D8" s="1"/>
      <c r="Q8" s="14" t="s">
        <v>11</v>
      </c>
    </row>
    <row r="9" spans="1:17" ht="13.15" customHeight="1" x14ac:dyDescent="0.2">
      <c r="A9" s="102" t="s">
        <v>5</v>
      </c>
      <c r="B9" s="91" t="s">
        <v>144</v>
      </c>
      <c r="C9" s="91" t="s">
        <v>145</v>
      </c>
      <c r="D9" s="91" t="s">
        <v>82</v>
      </c>
      <c r="E9" s="98" t="s">
        <v>146</v>
      </c>
      <c r="F9" s="87" t="s">
        <v>9</v>
      </c>
      <c r="G9" s="87"/>
      <c r="H9" s="87"/>
      <c r="I9" s="87"/>
      <c r="J9" s="24"/>
      <c r="K9" s="109" t="s">
        <v>10</v>
      </c>
      <c r="L9" s="109"/>
      <c r="M9" s="109"/>
      <c r="N9" s="109"/>
      <c r="O9" s="109"/>
      <c r="P9" s="109"/>
      <c r="Q9" s="105" t="s">
        <v>3</v>
      </c>
    </row>
    <row r="10" spans="1:17" ht="13.15" customHeight="1" x14ac:dyDescent="0.2">
      <c r="A10" s="103"/>
      <c r="B10" s="92"/>
      <c r="C10" s="92"/>
      <c r="D10" s="92"/>
      <c r="E10" s="99"/>
      <c r="F10" s="88" t="s">
        <v>77</v>
      </c>
      <c r="G10" s="95" t="s">
        <v>6</v>
      </c>
      <c r="H10" s="87" t="s">
        <v>0</v>
      </c>
      <c r="I10" s="87"/>
      <c r="J10" s="95" t="s">
        <v>7</v>
      </c>
      <c r="K10" s="88" t="s">
        <v>77</v>
      </c>
      <c r="L10" s="95" t="s">
        <v>78</v>
      </c>
      <c r="M10" s="87" t="s">
        <v>6</v>
      </c>
      <c r="N10" s="87" t="s">
        <v>0</v>
      </c>
      <c r="O10" s="87"/>
      <c r="P10" s="87" t="s">
        <v>7</v>
      </c>
      <c r="Q10" s="106"/>
    </row>
    <row r="11" spans="1:17" ht="13.15" customHeight="1" x14ac:dyDescent="0.2">
      <c r="A11" s="103"/>
      <c r="B11" s="92"/>
      <c r="C11" s="92"/>
      <c r="D11" s="92"/>
      <c r="E11" s="100"/>
      <c r="F11" s="88"/>
      <c r="G11" s="96"/>
      <c r="H11" s="87" t="s">
        <v>1</v>
      </c>
      <c r="I11" s="87" t="s">
        <v>2</v>
      </c>
      <c r="J11" s="96"/>
      <c r="K11" s="88"/>
      <c r="L11" s="96"/>
      <c r="M11" s="87"/>
      <c r="N11" s="87" t="s">
        <v>1</v>
      </c>
      <c r="O11" s="87" t="s">
        <v>2</v>
      </c>
      <c r="P11" s="87"/>
      <c r="Q11" s="106"/>
    </row>
    <row r="12" spans="1:17" ht="78.599999999999994" customHeight="1" x14ac:dyDescent="0.2">
      <c r="A12" s="104"/>
      <c r="B12" s="93"/>
      <c r="C12" s="93"/>
      <c r="D12" s="93"/>
      <c r="E12" s="25" t="s">
        <v>147</v>
      </c>
      <c r="F12" s="88"/>
      <c r="G12" s="97"/>
      <c r="H12" s="87"/>
      <c r="I12" s="87"/>
      <c r="J12" s="97"/>
      <c r="K12" s="88"/>
      <c r="L12" s="97"/>
      <c r="M12" s="87"/>
      <c r="N12" s="87"/>
      <c r="O12" s="87"/>
      <c r="P12" s="87"/>
      <c r="Q12" s="107"/>
    </row>
    <row r="13" spans="1:17" s="13" customFormat="1" ht="15" x14ac:dyDescent="0.2">
      <c r="A13" s="12">
        <v>1</v>
      </c>
      <c r="B13" s="12">
        <v>1</v>
      </c>
      <c r="C13" s="12">
        <v>2</v>
      </c>
      <c r="D13" s="12">
        <v>3</v>
      </c>
      <c r="E13" s="12">
        <v>4</v>
      </c>
      <c r="F13" s="43">
        <v>5</v>
      </c>
      <c r="G13" s="12">
        <v>6</v>
      </c>
      <c r="H13" s="12">
        <v>7</v>
      </c>
      <c r="I13" s="12">
        <v>8</v>
      </c>
      <c r="J13" s="12">
        <v>9</v>
      </c>
      <c r="K13" s="43">
        <v>10</v>
      </c>
      <c r="L13" s="12">
        <v>11</v>
      </c>
      <c r="M13" s="12">
        <v>12</v>
      </c>
      <c r="N13" s="12">
        <v>13</v>
      </c>
      <c r="O13" s="12">
        <v>14</v>
      </c>
      <c r="P13" s="12">
        <v>15</v>
      </c>
      <c r="Q13" s="43" t="s">
        <v>8</v>
      </c>
    </row>
    <row r="14" spans="1:17" s="13" customFormat="1" ht="33.75" customHeight="1" x14ac:dyDescent="0.2">
      <c r="A14" s="2" t="s">
        <v>4</v>
      </c>
      <c r="B14" s="26" t="s">
        <v>4</v>
      </c>
      <c r="C14" s="12"/>
      <c r="D14" s="12"/>
      <c r="E14" s="31" t="s">
        <v>142</v>
      </c>
      <c r="F14" s="64">
        <f>F15</f>
        <v>244428189.92000002</v>
      </c>
      <c r="G14" s="65">
        <f>G15</f>
        <v>244428189.92000002</v>
      </c>
      <c r="H14" s="65">
        <f t="shared" ref="H14:P14" si="0">H15</f>
        <v>148838629.50999999</v>
      </c>
      <c r="I14" s="65">
        <f t="shared" si="0"/>
        <v>27681682.420000002</v>
      </c>
      <c r="J14" s="65">
        <f t="shared" si="0"/>
        <v>0</v>
      </c>
      <c r="K14" s="64">
        <f>K15</f>
        <v>37180111.170000002</v>
      </c>
      <c r="L14" s="65">
        <f t="shared" si="0"/>
        <v>27193494.170000002</v>
      </c>
      <c r="M14" s="65">
        <f t="shared" si="0"/>
        <v>9986617</v>
      </c>
      <c r="N14" s="65">
        <f t="shared" si="0"/>
        <v>420000</v>
      </c>
      <c r="O14" s="65">
        <f t="shared" si="0"/>
        <v>0</v>
      </c>
      <c r="P14" s="65">
        <f t="shared" si="0"/>
        <v>27193494.170000002</v>
      </c>
      <c r="Q14" s="66">
        <f>F14+K14</f>
        <v>281608301.09000003</v>
      </c>
    </row>
    <row r="15" spans="1:17" s="5" customFormat="1" ht="36" customHeight="1" x14ac:dyDescent="0.2">
      <c r="A15" s="2" t="s">
        <v>46</v>
      </c>
      <c r="B15" s="26" t="s">
        <v>46</v>
      </c>
      <c r="C15" s="26"/>
      <c r="D15" s="26"/>
      <c r="E15" s="31" t="s">
        <v>143</v>
      </c>
      <c r="F15" s="64">
        <f>SUM(F16:F102)</f>
        <v>244428189.92000002</v>
      </c>
      <c r="G15" s="65">
        <f>SUM(G16:G102)</f>
        <v>244428189.92000002</v>
      </c>
      <c r="H15" s="65">
        <f>SUM(H16:H102)</f>
        <v>148838629.50999999</v>
      </c>
      <c r="I15" s="65">
        <f>SUM(I16:I102)</f>
        <v>27681682.420000002</v>
      </c>
      <c r="J15" s="65">
        <f>SUM(J16:J102)</f>
        <v>0</v>
      </c>
      <c r="K15" s="66">
        <f>M15+P15</f>
        <v>37180111.170000002</v>
      </c>
      <c r="L15" s="65">
        <f>SUM(L16:L102)</f>
        <v>27193494.170000002</v>
      </c>
      <c r="M15" s="65">
        <f>SUM(M16:M102)</f>
        <v>9986617</v>
      </c>
      <c r="N15" s="65">
        <f>SUM(N16:N102)</f>
        <v>420000</v>
      </c>
      <c r="O15" s="65">
        <f>SUM(O16:O102)</f>
        <v>0</v>
      </c>
      <c r="P15" s="65">
        <f>SUM(P16:P102)</f>
        <v>27193494.170000002</v>
      </c>
      <c r="Q15" s="66">
        <f>F15+K15</f>
        <v>281608301.09000003</v>
      </c>
    </row>
    <row r="16" spans="1:17" s="5" customFormat="1" ht="46.5" customHeight="1" x14ac:dyDescent="0.2">
      <c r="A16" s="2" t="s">
        <v>17</v>
      </c>
      <c r="B16" s="27" t="s">
        <v>57</v>
      </c>
      <c r="C16" s="27" t="s">
        <v>56</v>
      </c>
      <c r="D16" s="27" t="s">
        <v>16</v>
      </c>
      <c r="E16" s="28" t="s">
        <v>121</v>
      </c>
      <c r="F16" s="64">
        <f t="shared" ref="F16:F102" si="1">G16+J16</f>
        <v>31407480</v>
      </c>
      <c r="G16" s="67">
        <f>30456380+209000+17960-100000-183000-82191-50000-20000+85000-26000-245700-75000-770550-375000+575000+568848+1390000-26267+59000</f>
        <v>31407480</v>
      </c>
      <c r="H16" s="67">
        <f>22402790-300000-500000-406595-67000-20000</f>
        <v>21109195</v>
      </c>
      <c r="I16" s="67">
        <f>1585000+209000-183000-72191+26000+350000-100121</f>
        <v>1814688</v>
      </c>
      <c r="J16" s="65"/>
      <c r="K16" s="66">
        <f>M16+P16</f>
        <v>1970156</v>
      </c>
      <c r="L16" s="68">
        <f>P16</f>
        <v>1888156</v>
      </c>
      <c r="M16" s="67">
        <v>82000</v>
      </c>
      <c r="N16" s="67"/>
      <c r="O16" s="67"/>
      <c r="P16" s="67">
        <f>227342+75000-75000-100000+700000+1159814-99000</f>
        <v>1888156</v>
      </c>
      <c r="Q16" s="66">
        <f>F16+K16</f>
        <v>33377636</v>
      </c>
    </row>
    <row r="17" spans="1:17" s="3" customFormat="1" ht="35.25" hidden="1" customHeight="1" x14ac:dyDescent="0.2">
      <c r="A17" s="4"/>
      <c r="B17" s="27"/>
      <c r="C17" s="29"/>
      <c r="D17" s="27"/>
      <c r="E17" s="30"/>
      <c r="F17" s="64">
        <f t="shared" si="1"/>
        <v>0</v>
      </c>
      <c r="G17" s="69"/>
      <c r="H17" s="70"/>
      <c r="I17" s="70"/>
      <c r="J17" s="70"/>
      <c r="K17" s="66">
        <f t="shared" ref="K17:K102" si="2">M17+P17</f>
        <v>0</v>
      </c>
      <c r="L17" s="68">
        <f t="shared" ref="L17:L102" si="3">P17</f>
        <v>0</v>
      </c>
      <c r="M17" s="70"/>
      <c r="N17" s="70"/>
      <c r="O17" s="67"/>
      <c r="P17" s="70"/>
      <c r="Q17" s="66">
        <f t="shared" ref="Q17:Q103" si="4">F17+K17</f>
        <v>0</v>
      </c>
    </row>
    <row r="18" spans="1:17" s="3" customFormat="1" ht="132" hidden="1" customHeight="1" x14ac:dyDescent="0.2">
      <c r="A18" s="4"/>
      <c r="B18" s="27"/>
      <c r="C18" s="29"/>
      <c r="D18" s="27"/>
      <c r="E18" s="28"/>
      <c r="F18" s="64">
        <f t="shared" si="1"/>
        <v>0</v>
      </c>
      <c r="G18" s="69"/>
      <c r="H18" s="70"/>
      <c r="I18" s="70"/>
      <c r="J18" s="70"/>
      <c r="K18" s="66">
        <f t="shared" si="2"/>
        <v>0</v>
      </c>
      <c r="L18" s="68">
        <f t="shared" si="3"/>
        <v>0</v>
      </c>
      <c r="M18" s="70"/>
      <c r="N18" s="70"/>
      <c r="O18" s="67"/>
      <c r="P18" s="70"/>
      <c r="Q18" s="66">
        <f t="shared" si="4"/>
        <v>0</v>
      </c>
    </row>
    <row r="19" spans="1:17" s="5" customFormat="1" ht="16.5" customHeight="1" x14ac:dyDescent="0.2">
      <c r="A19" s="2"/>
      <c r="B19" s="82" t="s">
        <v>72</v>
      </c>
      <c r="C19" s="85" t="s">
        <v>54</v>
      </c>
      <c r="D19" s="82" t="s">
        <v>18</v>
      </c>
      <c r="E19" s="32" t="s">
        <v>228</v>
      </c>
      <c r="F19" s="64">
        <f t="shared" si="1"/>
        <v>775100</v>
      </c>
      <c r="G19" s="69">
        <f>341100+126000+300000+8000</f>
        <v>775100</v>
      </c>
      <c r="H19" s="65"/>
      <c r="I19" s="65"/>
      <c r="J19" s="65"/>
      <c r="K19" s="66">
        <f t="shared" si="2"/>
        <v>0</v>
      </c>
      <c r="L19" s="68">
        <f t="shared" si="3"/>
        <v>0</v>
      </c>
      <c r="M19" s="67"/>
      <c r="N19" s="67"/>
      <c r="O19" s="67"/>
      <c r="P19" s="67"/>
      <c r="Q19" s="66">
        <f t="shared" si="4"/>
        <v>775100</v>
      </c>
    </row>
    <row r="20" spans="1:17" s="5" customFormat="1" ht="15" hidden="1" x14ac:dyDescent="0.2">
      <c r="A20" s="2"/>
      <c r="B20" s="84"/>
      <c r="C20" s="86"/>
      <c r="D20" s="84"/>
      <c r="E20" s="32"/>
      <c r="F20" s="64"/>
      <c r="G20" s="69"/>
      <c r="H20" s="65"/>
      <c r="I20" s="65"/>
      <c r="J20" s="65"/>
      <c r="K20" s="66">
        <f t="shared" si="2"/>
        <v>0</v>
      </c>
      <c r="L20" s="68">
        <f t="shared" si="3"/>
        <v>0</v>
      </c>
      <c r="M20" s="67"/>
      <c r="N20" s="67"/>
      <c r="O20" s="67"/>
      <c r="P20" s="67"/>
      <c r="Q20" s="66">
        <f t="shared" si="4"/>
        <v>0</v>
      </c>
    </row>
    <row r="21" spans="1:17" s="5" customFormat="1" ht="15" hidden="1" x14ac:dyDescent="0.2">
      <c r="A21" s="2"/>
      <c r="B21" s="27"/>
      <c r="C21" s="29"/>
      <c r="D21" s="27"/>
      <c r="E21" s="32"/>
      <c r="F21" s="64"/>
      <c r="G21" s="69"/>
      <c r="H21" s="65"/>
      <c r="I21" s="65"/>
      <c r="J21" s="65"/>
      <c r="K21" s="66"/>
      <c r="L21" s="68"/>
      <c r="M21" s="67"/>
      <c r="N21" s="67"/>
      <c r="O21" s="67"/>
      <c r="P21" s="67"/>
      <c r="Q21" s="66"/>
    </row>
    <row r="22" spans="1:17" s="5" customFormat="1" ht="15" x14ac:dyDescent="0.2">
      <c r="A22" s="2"/>
      <c r="B22" s="27" t="s">
        <v>92</v>
      </c>
      <c r="C22" s="27" t="s">
        <v>20</v>
      </c>
      <c r="D22" s="27" t="s">
        <v>21</v>
      </c>
      <c r="E22" s="32" t="s">
        <v>66</v>
      </c>
      <c r="F22" s="64">
        <f t="shared" si="1"/>
        <v>29387003</v>
      </c>
      <c r="G22" s="69">
        <f>30433100+468000+8520-300000-539475-362000+86060-260000-600000-594360+740000+200000-59765+166923</f>
        <v>29387003</v>
      </c>
      <c r="H22" s="67">
        <f>17735600-44000</f>
        <v>17691600</v>
      </c>
      <c r="I22" s="67">
        <f>5193200+468000-49704+86060-594360+740000+200000+114000</f>
        <v>6157196</v>
      </c>
      <c r="J22" s="67"/>
      <c r="K22" s="66">
        <f t="shared" si="2"/>
        <v>900000</v>
      </c>
      <c r="L22" s="68">
        <f t="shared" si="3"/>
        <v>0</v>
      </c>
      <c r="M22" s="67">
        <f>800000+100000</f>
        <v>900000</v>
      </c>
      <c r="N22" s="67"/>
      <c r="O22" s="67"/>
      <c r="P22" s="67"/>
      <c r="Q22" s="66">
        <f t="shared" si="4"/>
        <v>30287003</v>
      </c>
    </row>
    <row r="23" spans="1:17" s="5" customFormat="1" ht="18" customHeight="1" x14ac:dyDescent="0.2">
      <c r="A23" s="2"/>
      <c r="B23" s="27" t="s">
        <v>123</v>
      </c>
      <c r="C23" s="27" t="s">
        <v>148</v>
      </c>
      <c r="D23" s="27" t="s">
        <v>24</v>
      </c>
      <c r="E23" s="32" t="s">
        <v>127</v>
      </c>
      <c r="F23" s="64">
        <f t="shared" si="1"/>
        <v>47357157.420000002</v>
      </c>
      <c r="G23" s="69">
        <f>42738321+58000+453775+658400+815111+333000+20000+417794.32+250000+302192.31-193424+400000+424647.79+778340-99000</f>
        <v>47357157.420000002</v>
      </c>
      <c r="H23" s="67">
        <f>19086190+68000-52000+1277489</f>
        <v>20379679</v>
      </c>
      <c r="I23" s="67">
        <f>13517742+58000+385700+658400+815111+240000+417794.32+302192.31-233394+400000+424647.79-66500</f>
        <v>16919693.420000002</v>
      </c>
      <c r="J23" s="67"/>
      <c r="K23" s="66">
        <f>M23+P23</f>
        <v>11194949</v>
      </c>
      <c r="L23" s="68">
        <f t="shared" si="3"/>
        <v>3082332</v>
      </c>
      <c r="M23" s="67">
        <f>8029536+20000+63081</f>
        <v>8112617</v>
      </c>
      <c r="N23" s="67"/>
      <c r="O23" s="67"/>
      <c r="P23" s="67">
        <f>2500000+219142+10000+377842-2126767+886615+471000+650000+99000-4500</f>
        <v>3082332</v>
      </c>
      <c r="Q23" s="66">
        <f t="shared" si="4"/>
        <v>58552106.420000002</v>
      </c>
    </row>
    <row r="24" spans="1:17" s="5" customFormat="1" ht="30" x14ac:dyDescent="0.2">
      <c r="A24" s="2"/>
      <c r="B24" s="27" t="s">
        <v>124</v>
      </c>
      <c r="C24" s="27" t="s">
        <v>125</v>
      </c>
      <c r="D24" s="27" t="s">
        <v>24</v>
      </c>
      <c r="E24" s="32" t="s">
        <v>126</v>
      </c>
      <c r="F24" s="64">
        <f t="shared" si="1"/>
        <v>79248300</v>
      </c>
      <c r="G24" s="69">
        <f>88053700-8805400</f>
        <v>79248300</v>
      </c>
      <c r="H24" s="67">
        <f>72200000-7220500+680000+223696.51</f>
        <v>65883196.509999998</v>
      </c>
      <c r="I24" s="67"/>
      <c r="J24" s="67"/>
      <c r="K24" s="66">
        <f t="shared" si="2"/>
        <v>0</v>
      </c>
      <c r="L24" s="68">
        <f t="shared" si="3"/>
        <v>0</v>
      </c>
      <c r="M24" s="67"/>
      <c r="N24" s="67"/>
      <c r="O24" s="67"/>
      <c r="P24" s="67"/>
      <c r="Q24" s="66">
        <f t="shared" si="4"/>
        <v>79248300</v>
      </c>
    </row>
    <row r="25" spans="1:17" s="5" customFormat="1" ht="90" hidden="1" x14ac:dyDescent="0.2">
      <c r="A25" s="2"/>
      <c r="B25" s="27" t="s">
        <v>168</v>
      </c>
      <c r="C25" s="27" t="s">
        <v>169</v>
      </c>
      <c r="D25" s="27" t="s">
        <v>24</v>
      </c>
      <c r="E25" s="32" t="s">
        <v>170</v>
      </c>
      <c r="F25" s="64">
        <f t="shared" si="1"/>
        <v>0</v>
      </c>
      <c r="G25" s="69"/>
      <c r="H25" s="67"/>
      <c r="I25" s="67"/>
      <c r="J25" s="67"/>
      <c r="K25" s="66">
        <f t="shared" si="2"/>
        <v>0</v>
      </c>
      <c r="L25" s="68">
        <f t="shared" si="3"/>
        <v>0</v>
      </c>
      <c r="M25" s="67"/>
      <c r="N25" s="67"/>
      <c r="O25" s="67"/>
      <c r="P25" s="67"/>
      <c r="Q25" s="66">
        <f t="shared" si="4"/>
        <v>0</v>
      </c>
    </row>
    <row r="26" spans="1:17" s="5" customFormat="1" ht="15" x14ac:dyDescent="0.2">
      <c r="A26" s="2"/>
      <c r="B26" s="27" t="s">
        <v>168</v>
      </c>
      <c r="C26" s="27" t="s">
        <v>169</v>
      </c>
      <c r="D26" s="27" t="s">
        <v>24</v>
      </c>
      <c r="E26" s="32" t="s">
        <v>127</v>
      </c>
      <c r="F26" s="64">
        <f t="shared" si="1"/>
        <v>1418204.5</v>
      </c>
      <c r="G26" s="69">
        <v>1418204.5</v>
      </c>
      <c r="H26" s="67">
        <v>1177100</v>
      </c>
      <c r="I26" s="67"/>
      <c r="J26" s="67"/>
      <c r="K26" s="66">
        <f t="shared" si="2"/>
        <v>0</v>
      </c>
      <c r="L26" s="68"/>
      <c r="M26" s="67"/>
      <c r="N26" s="67"/>
      <c r="O26" s="67"/>
      <c r="P26" s="67"/>
      <c r="Q26" s="66">
        <f t="shared" si="4"/>
        <v>1418204.5</v>
      </c>
    </row>
    <row r="27" spans="1:17" s="5" customFormat="1" ht="30" x14ac:dyDescent="0.2">
      <c r="A27" s="2"/>
      <c r="B27" s="27" t="s">
        <v>128</v>
      </c>
      <c r="C27" s="27" t="s">
        <v>32</v>
      </c>
      <c r="D27" s="27" t="s">
        <v>27</v>
      </c>
      <c r="E27" s="32" t="s">
        <v>84</v>
      </c>
      <c r="F27" s="64">
        <f t="shared" si="1"/>
        <v>1340360</v>
      </c>
      <c r="G27" s="69">
        <f>1524360-184000</f>
        <v>1340360</v>
      </c>
      <c r="H27" s="67">
        <f>1191690-165000</f>
        <v>1026690</v>
      </c>
      <c r="I27" s="67"/>
      <c r="J27" s="67"/>
      <c r="K27" s="66">
        <f t="shared" si="2"/>
        <v>0</v>
      </c>
      <c r="L27" s="68">
        <f t="shared" si="3"/>
        <v>0</v>
      </c>
      <c r="M27" s="67"/>
      <c r="N27" s="67"/>
      <c r="O27" s="67"/>
      <c r="P27" s="67"/>
      <c r="Q27" s="66">
        <f t="shared" si="4"/>
        <v>1340360</v>
      </c>
    </row>
    <row r="28" spans="1:17" s="5" customFormat="1" ht="15" hidden="1" x14ac:dyDescent="0.2">
      <c r="A28" s="2"/>
      <c r="B28" s="27"/>
      <c r="C28" s="27"/>
      <c r="D28" s="27"/>
      <c r="E28" s="32"/>
      <c r="F28" s="64"/>
      <c r="G28" s="69"/>
      <c r="H28" s="67"/>
      <c r="I28" s="67"/>
      <c r="J28" s="67"/>
      <c r="K28" s="66"/>
      <c r="L28" s="68">
        <f t="shared" si="3"/>
        <v>0</v>
      </c>
      <c r="M28" s="67"/>
      <c r="N28" s="67"/>
      <c r="O28" s="67"/>
      <c r="P28" s="67"/>
      <c r="Q28" s="66">
        <f t="shared" si="4"/>
        <v>0</v>
      </c>
    </row>
    <row r="29" spans="1:17" s="5" customFormat="1" ht="18" customHeight="1" x14ac:dyDescent="0.2">
      <c r="A29" s="2"/>
      <c r="B29" s="27" t="s">
        <v>129</v>
      </c>
      <c r="C29" s="35">
        <v>1080</v>
      </c>
      <c r="D29" s="27" t="s">
        <v>27</v>
      </c>
      <c r="E29" s="32" t="s">
        <v>227</v>
      </c>
      <c r="F29" s="64">
        <f t="shared" si="1"/>
        <v>3619622</v>
      </c>
      <c r="G29" s="69">
        <f>3037500+8000-180000+15000+210000+529122</f>
        <v>3619622</v>
      </c>
      <c r="H29" s="67">
        <f>2219700+95346</f>
        <v>2315046</v>
      </c>
      <c r="I29" s="67">
        <f>350500+8000-180000+10000+210000</f>
        <v>398500</v>
      </c>
      <c r="J29" s="67"/>
      <c r="K29" s="66">
        <f t="shared" si="2"/>
        <v>547550</v>
      </c>
      <c r="L29" s="68">
        <f t="shared" si="3"/>
        <v>32550</v>
      </c>
      <c r="M29" s="67">
        <v>515000</v>
      </c>
      <c r="N29" s="67">
        <v>420000</v>
      </c>
      <c r="O29" s="67"/>
      <c r="P29" s="67">
        <f>32550</f>
        <v>32550</v>
      </c>
      <c r="Q29" s="66">
        <f t="shared" si="4"/>
        <v>4167172</v>
      </c>
    </row>
    <row r="30" spans="1:17" s="5" customFormat="1" ht="15" hidden="1" x14ac:dyDescent="0.2">
      <c r="A30" s="2"/>
      <c r="B30" s="27" t="s">
        <v>158</v>
      </c>
      <c r="C30" s="35">
        <v>1130</v>
      </c>
      <c r="D30" s="27" t="s">
        <v>28</v>
      </c>
      <c r="E30" s="32" t="s">
        <v>159</v>
      </c>
      <c r="F30" s="64">
        <f t="shared" si="1"/>
        <v>0</v>
      </c>
      <c r="G30" s="69"/>
      <c r="H30" s="67"/>
      <c r="I30" s="67"/>
      <c r="J30" s="67"/>
      <c r="K30" s="66">
        <f t="shared" si="2"/>
        <v>0</v>
      </c>
      <c r="L30" s="68">
        <f t="shared" si="3"/>
        <v>0</v>
      </c>
      <c r="M30" s="67"/>
      <c r="N30" s="67"/>
      <c r="O30" s="67"/>
      <c r="P30" s="67"/>
      <c r="Q30" s="66">
        <f t="shared" si="4"/>
        <v>0</v>
      </c>
    </row>
    <row r="31" spans="1:17" s="5" customFormat="1" ht="18" customHeight="1" x14ac:dyDescent="0.2">
      <c r="A31" s="2"/>
      <c r="B31" s="27" t="s">
        <v>160</v>
      </c>
      <c r="C31" s="35">
        <v>1141</v>
      </c>
      <c r="D31" s="27" t="s">
        <v>28</v>
      </c>
      <c r="E31" s="32" t="s">
        <v>161</v>
      </c>
      <c r="F31" s="64">
        <f t="shared" si="1"/>
        <v>2740756</v>
      </c>
      <c r="G31" s="69">
        <f>3049186-308430</f>
        <v>2740756</v>
      </c>
      <c r="H31" s="67">
        <f>2356710-105770</f>
        <v>2250940</v>
      </c>
      <c r="I31" s="67"/>
      <c r="J31" s="67"/>
      <c r="K31" s="66">
        <f t="shared" si="2"/>
        <v>0</v>
      </c>
      <c r="L31" s="68">
        <f t="shared" si="3"/>
        <v>0</v>
      </c>
      <c r="M31" s="67"/>
      <c r="N31" s="67"/>
      <c r="O31" s="67"/>
      <c r="P31" s="67"/>
      <c r="Q31" s="66">
        <f t="shared" si="4"/>
        <v>2740756</v>
      </c>
    </row>
    <row r="32" spans="1:17" s="5" customFormat="1" ht="30" x14ac:dyDescent="0.2">
      <c r="A32" s="2"/>
      <c r="B32" s="27" t="s">
        <v>130</v>
      </c>
      <c r="C32" s="27" t="s">
        <v>131</v>
      </c>
      <c r="D32" s="27" t="s">
        <v>28</v>
      </c>
      <c r="E32" s="32" t="s">
        <v>132</v>
      </c>
      <c r="F32" s="64">
        <f t="shared" si="1"/>
        <v>1308830</v>
      </c>
      <c r="G32" s="69">
        <f>1448700-144870+5000</f>
        <v>1308830</v>
      </c>
      <c r="H32" s="67">
        <f>1187500-118745</f>
        <v>1068755</v>
      </c>
      <c r="I32" s="67"/>
      <c r="J32" s="67"/>
      <c r="K32" s="66">
        <f t="shared" ref="K32:K41" si="5">M32+P32</f>
        <v>0</v>
      </c>
      <c r="L32" s="68">
        <f t="shared" si="3"/>
        <v>0</v>
      </c>
      <c r="M32" s="67"/>
      <c r="N32" s="67"/>
      <c r="O32" s="67"/>
      <c r="P32" s="67"/>
      <c r="Q32" s="66">
        <f t="shared" si="4"/>
        <v>1308830</v>
      </c>
    </row>
    <row r="33" spans="1:17" s="5" customFormat="1" ht="60" hidden="1" x14ac:dyDescent="0.2">
      <c r="A33" s="2"/>
      <c r="B33" s="27" t="s">
        <v>179</v>
      </c>
      <c r="C33" s="27" t="s">
        <v>180</v>
      </c>
      <c r="D33" s="27" t="s">
        <v>28</v>
      </c>
      <c r="E33" s="32" t="s">
        <v>181</v>
      </c>
      <c r="F33" s="64">
        <f t="shared" si="1"/>
        <v>0</v>
      </c>
      <c r="G33" s="69"/>
      <c r="H33" s="67"/>
      <c r="I33" s="67"/>
      <c r="J33" s="67"/>
      <c r="K33" s="66">
        <f t="shared" si="5"/>
        <v>0</v>
      </c>
      <c r="L33" s="68">
        <f t="shared" si="3"/>
        <v>0</v>
      </c>
      <c r="M33" s="67"/>
      <c r="N33" s="67"/>
      <c r="O33" s="67"/>
      <c r="P33" s="67"/>
      <c r="Q33" s="66">
        <f t="shared" si="4"/>
        <v>0</v>
      </c>
    </row>
    <row r="34" spans="1:17" s="5" customFormat="1" ht="30" x14ac:dyDescent="0.2">
      <c r="A34" s="2"/>
      <c r="B34" s="27" t="s">
        <v>133</v>
      </c>
      <c r="C34" s="27" t="s">
        <v>134</v>
      </c>
      <c r="D34" s="27" t="s">
        <v>28</v>
      </c>
      <c r="E34" s="32" t="s">
        <v>135</v>
      </c>
      <c r="F34" s="64">
        <f t="shared" si="1"/>
        <v>368920</v>
      </c>
      <c r="G34" s="69">
        <f>385820+2000-15400-3500</f>
        <v>368920</v>
      </c>
      <c r="H34" s="67">
        <f>275670-2900</f>
        <v>272770</v>
      </c>
      <c r="I34" s="67">
        <f>30000+2000-15400</f>
        <v>16600</v>
      </c>
      <c r="J34" s="67"/>
      <c r="K34" s="66">
        <f t="shared" si="5"/>
        <v>0</v>
      </c>
      <c r="L34" s="68">
        <f t="shared" si="3"/>
        <v>0</v>
      </c>
      <c r="M34" s="67"/>
      <c r="N34" s="67"/>
      <c r="O34" s="67"/>
      <c r="P34" s="67"/>
      <c r="Q34" s="66">
        <f t="shared" si="4"/>
        <v>368920</v>
      </c>
    </row>
    <row r="35" spans="1:17" s="5" customFormat="1" ht="45" hidden="1" x14ac:dyDescent="0.2">
      <c r="A35" s="2"/>
      <c r="B35" s="27" t="s">
        <v>198</v>
      </c>
      <c r="C35" s="27" t="s">
        <v>200</v>
      </c>
      <c r="D35" s="27" t="s">
        <v>28</v>
      </c>
      <c r="E35" s="32" t="s">
        <v>202</v>
      </c>
      <c r="F35" s="64">
        <f t="shared" si="1"/>
        <v>0</v>
      </c>
      <c r="G35" s="69"/>
      <c r="H35" s="67"/>
      <c r="I35" s="67"/>
      <c r="J35" s="67"/>
      <c r="K35" s="66">
        <f t="shared" si="5"/>
        <v>0</v>
      </c>
      <c r="L35" s="68">
        <f t="shared" si="3"/>
        <v>0</v>
      </c>
      <c r="M35" s="67"/>
      <c r="N35" s="67"/>
      <c r="O35" s="67"/>
      <c r="P35" s="67"/>
      <c r="Q35" s="66">
        <f t="shared" si="4"/>
        <v>0</v>
      </c>
    </row>
    <row r="36" spans="1:17" s="5" customFormat="1" ht="45" hidden="1" x14ac:dyDescent="0.2">
      <c r="A36" s="2"/>
      <c r="B36" s="27" t="s">
        <v>199</v>
      </c>
      <c r="C36" s="27" t="s">
        <v>201</v>
      </c>
      <c r="D36" s="27" t="s">
        <v>28</v>
      </c>
      <c r="E36" s="32" t="s">
        <v>203</v>
      </c>
      <c r="F36" s="64">
        <f t="shared" si="1"/>
        <v>0</v>
      </c>
      <c r="G36" s="69"/>
      <c r="H36" s="67"/>
      <c r="I36" s="67"/>
      <c r="J36" s="67"/>
      <c r="K36" s="66">
        <f t="shared" si="5"/>
        <v>0</v>
      </c>
      <c r="L36" s="68">
        <f t="shared" si="3"/>
        <v>0</v>
      </c>
      <c r="M36" s="67"/>
      <c r="N36" s="67"/>
      <c r="O36" s="67"/>
      <c r="P36" s="67"/>
      <c r="Q36" s="66">
        <f t="shared" si="4"/>
        <v>0</v>
      </c>
    </row>
    <row r="37" spans="1:17" s="5" customFormat="1" ht="45" hidden="1" x14ac:dyDescent="0.2">
      <c r="A37" s="2"/>
      <c r="B37" s="27" t="s">
        <v>199</v>
      </c>
      <c r="C37" s="27" t="s">
        <v>201</v>
      </c>
      <c r="D37" s="27" t="s">
        <v>28</v>
      </c>
      <c r="E37" s="32" t="s">
        <v>203</v>
      </c>
      <c r="F37" s="64">
        <f t="shared" si="1"/>
        <v>0</v>
      </c>
      <c r="G37" s="69"/>
      <c r="H37" s="67"/>
      <c r="I37" s="67"/>
      <c r="J37" s="67"/>
      <c r="K37" s="66">
        <f t="shared" si="5"/>
        <v>0</v>
      </c>
      <c r="L37" s="68">
        <f t="shared" si="3"/>
        <v>0</v>
      </c>
      <c r="M37" s="67"/>
      <c r="N37" s="67"/>
      <c r="O37" s="67"/>
      <c r="P37" s="67"/>
      <c r="Q37" s="66">
        <f t="shared" si="4"/>
        <v>0</v>
      </c>
    </row>
    <row r="38" spans="1:17" s="5" customFormat="1" ht="45" hidden="1" x14ac:dyDescent="0.2">
      <c r="A38" s="2"/>
      <c r="B38" s="27" t="s">
        <v>190</v>
      </c>
      <c r="C38" s="27" t="s">
        <v>191</v>
      </c>
      <c r="D38" s="27" t="s">
        <v>28</v>
      </c>
      <c r="E38" s="32" t="s">
        <v>194</v>
      </c>
      <c r="F38" s="64">
        <f t="shared" si="1"/>
        <v>0</v>
      </c>
      <c r="G38" s="69"/>
      <c r="H38" s="67"/>
      <c r="I38" s="67"/>
      <c r="J38" s="67"/>
      <c r="K38" s="66">
        <f t="shared" si="5"/>
        <v>0</v>
      </c>
      <c r="L38" s="68">
        <f t="shared" si="3"/>
        <v>0</v>
      </c>
      <c r="M38" s="67"/>
      <c r="N38" s="67"/>
      <c r="O38" s="67"/>
      <c r="P38" s="67"/>
      <c r="Q38" s="66">
        <f t="shared" si="4"/>
        <v>0</v>
      </c>
    </row>
    <row r="39" spans="1:17" s="5" customFormat="1" ht="45" hidden="1" x14ac:dyDescent="0.2">
      <c r="A39" s="2"/>
      <c r="B39" s="27" t="s">
        <v>192</v>
      </c>
      <c r="C39" s="27" t="s">
        <v>193</v>
      </c>
      <c r="D39" s="27" t="s">
        <v>28</v>
      </c>
      <c r="E39" s="32" t="s">
        <v>195</v>
      </c>
      <c r="F39" s="64">
        <f t="shared" si="1"/>
        <v>0</v>
      </c>
      <c r="G39" s="69"/>
      <c r="H39" s="67"/>
      <c r="I39" s="67"/>
      <c r="J39" s="67"/>
      <c r="K39" s="66">
        <f t="shared" si="5"/>
        <v>0</v>
      </c>
      <c r="L39" s="68">
        <f t="shared" si="3"/>
        <v>0</v>
      </c>
      <c r="M39" s="67"/>
      <c r="N39" s="67"/>
      <c r="O39" s="67"/>
      <c r="P39" s="67"/>
      <c r="Q39" s="66">
        <f t="shared" si="4"/>
        <v>0</v>
      </c>
    </row>
    <row r="40" spans="1:17" s="5" customFormat="1" ht="45" x14ac:dyDescent="0.2">
      <c r="A40" s="2"/>
      <c r="B40" s="27" t="s">
        <v>136</v>
      </c>
      <c r="C40" s="27" t="s">
        <v>137</v>
      </c>
      <c r="D40" s="27" t="s">
        <v>28</v>
      </c>
      <c r="E40" s="32" t="s">
        <v>138</v>
      </c>
      <c r="F40" s="64">
        <f t="shared" si="1"/>
        <v>127636</v>
      </c>
      <c r="G40" s="69">
        <f>141814-14178</f>
        <v>127636</v>
      </c>
      <c r="H40" s="67">
        <f>116241-11620</f>
        <v>104621</v>
      </c>
      <c r="I40" s="67"/>
      <c r="J40" s="67"/>
      <c r="K40" s="66">
        <f t="shared" si="5"/>
        <v>45339</v>
      </c>
      <c r="L40" s="68">
        <f t="shared" si="3"/>
        <v>45339</v>
      </c>
      <c r="M40" s="67"/>
      <c r="N40" s="67"/>
      <c r="O40" s="67"/>
      <c r="P40" s="67">
        <f>50388-5049</f>
        <v>45339</v>
      </c>
      <c r="Q40" s="66">
        <f t="shared" si="4"/>
        <v>172975</v>
      </c>
    </row>
    <row r="41" spans="1:17" s="5" customFormat="1" ht="46.5" hidden="1" customHeight="1" x14ac:dyDescent="0.2">
      <c r="A41" s="2"/>
      <c r="B41" s="27" t="s">
        <v>182</v>
      </c>
      <c r="C41" s="27" t="s">
        <v>183</v>
      </c>
      <c r="D41" s="27" t="s">
        <v>28</v>
      </c>
      <c r="E41" s="32" t="s">
        <v>184</v>
      </c>
      <c r="F41" s="64">
        <f t="shared" si="1"/>
        <v>0</v>
      </c>
      <c r="G41" s="69"/>
      <c r="H41" s="67"/>
      <c r="I41" s="67"/>
      <c r="J41" s="67"/>
      <c r="K41" s="66">
        <f t="shared" si="5"/>
        <v>0</v>
      </c>
      <c r="L41" s="68">
        <f t="shared" si="3"/>
        <v>0</v>
      </c>
      <c r="M41" s="67"/>
      <c r="N41" s="67"/>
      <c r="O41" s="67"/>
      <c r="P41" s="67"/>
      <c r="Q41" s="66">
        <f t="shared" si="4"/>
        <v>0</v>
      </c>
    </row>
    <row r="42" spans="1:17" s="5" customFormat="1" ht="18" customHeight="1" x14ac:dyDescent="0.2">
      <c r="A42" s="4" t="s">
        <v>45</v>
      </c>
      <c r="B42" s="27" t="s">
        <v>88</v>
      </c>
      <c r="C42" s="27" t="s">
        <v>12</v>
      </c>
      <c r="D42" s="27" t="s">
        <v>13</v>
      </c>
      <c r="E42" s="32" t="s">
        <v>41</v>
      </c>
      <c r="F42" s="64">
        <f t="shared" si="1"/>
        <v>6717108</v>
      </c>
      <c r="G42" s="67">
        <f>3740100+1000000+500000+1000000-1000000+1147000+330008</f>
        <v>6717108</v>
      </c>
      <c r="H42" s="67"/>
      <c r="I42" s="67"/>
      <c r="J42" s="67"/>
      <c r="K42" s="66">
        <f t="shared" si="2"/>
        <v>0</v>
      </c>
      <c r="L42" s="68">
        <f t="shared" si="3"/>
        <v>0</v>
      </c>
      <c r="M42" s="67"/>
      <c r="N42" s="67"/>
      <c r="O42" s="67"/>
      <c r="P42" s="67"/>
      <c r="Q42" s="66">
        <f t="shared" si="4"/>
        <v>6717108</v>
      </c>
    </row>
    <row r="43" spans="1:17" s="3" customFormat="1" ht="30" x14ac:dyDescent="0.2">
      <c r="A43" s="4" t="s">
        <v>44</v>
      </c>
      <c r="B43" s="27" t="s">
        <v>89</v>
      </c>
      <c r="C43" s="27" t="s">
        <v>59</v>
      </c>
      <c r="D43" s="27" t="s">
        <v>14</v>
      </c>
      <c r="E43" s="32" t="s">
        <v>67</v>
      </c>
      <c r="F43" s="64">
        <f t="shared" si="1"/>
        <v>2755625</v>
      </c>
      <c r="G43" s="69">
        <f>2341615+165550+164200+84260</f>
        <v>2755625</v>
      </c>
      <c r="H43" s="69"/>
      <c r="I43" s="69"/>
      <c r="J43" s="69"/>
      <c r="K43" s="66">
        <f t="shared" si="2"/>
        <v>129100</v>
      </c>
      <c r="L43" s="68">
        <f t="shared" si="3"/>
        <v>129100</v>
      </c>
      <c r="M43" s="69"/>
      <c r="N43" s="69"/>
      <c r="O43" s="69"/>
      <c r="P43" s="69">
        <f>48500+55600+25000</f>
        <v>129100</v>
      </c>
      <c r="Q43" s="66">
        <f t="shared" si="4"/>
        <v>2884725</v>
      </c>
    </row>
    <row r="44" spans="1:17" s="3" customFormat="1" ht="29.25" customHeight="1" x14ac:dyDescent="0.2">
      <c r="A44" s="4" t="s">
        <v>55</v>
      </c>
      <c r="B44" s="27" t="s">
        <v>90</v>
      </c>
      <c r="C44" s="27" t="s">
        <v>60</v>
      </c>
      <c r="D44" s="27" t="s">
        <v>15</v>
      </c>
      <c r="E44" s="32" t="s">
        <v>85</v>
      </c>
      <c r="F44" s="64">
        <f t="shared" si="1"/>
        <v>60000</v>
      </c>
      <c r="G44" s="69">
        <v>60000</v>
      </c>
      <c r="H44" s="69"/>
      <c r="I44" s="69"/>
      <c r="J44" s="69"/>
      <c r="K44" s="66">
        <f t="shared" si="2"/>
        <v>0</v>
      </c>
      <c r="L44" s="68">
        <f t="shared" si="3"/>
        <v>0</v>
      </c>
      <c r="M44" s="69"/>
      <c r="N44" s="69"/>
      <c r="O44" s="69"/>
      <c r="P44" s="69"/>
      <c r="Q44" s="66">
        <f t="shared" si="4"/>
        <v>60000</v>
      </c>
    </row>
    <row r="45" spans="1:17" s="3" customFormat="1" ht="29.25" customHeight="1" x14ac:dyDescent="0.2">
      <c r="A45" s="4"/>
      <c r="B45" s="27" t="s">
        <v>156</v>
      </c>
      <c r="C45" s="27" t="s">
        <v>151</v>
      </c>
      <c r="D45" s="27" t="s">
        <v>15</v>
      </c>
      <c r="E45" s="32" t="s">
        <v>152</v>
      </c>
      <c r="F45" s="64">
        <f t="shared" si="1"/>
        <v>475000</v>
      </c>
      <c r="G45" s="69">
        <f>275000+50000+25000+60000+65000</f>
        <v>475000</v>
      </c>
      <c r="H45" s="69"/>
      <c r="I45" s="69"/>
      <c r="J45" s="69"/>
      <c r="K45" s="66">
        <f t="shared" si="2"/>
        <v>0</v>
      </c>
      <c r="L45" s="68">
        <f t="shared" si="3"/>
        <v>0</v>
      </c>
      <c r="M45" s="69"/>
      <c r="N45" s="69"/>
      <c r="O45" s="69"/>
      <c r="P45" s="69"/>
      <c r="Q45" s="66">
        <f t="shared" si="4"/>
        <v>475000</v>
      </c>
    </row>
    <row r="46" spans="1:17" s="3" customFormat="1" ht="29.25" hidden="1" customHeight="1" x14ac:dyDescent="0.2">
      <c r="A46" s="4"/>
      <c r="B46" s="27" t="s">
        <v>93</v>
      </c>
      <c r="C46" s="27" t="s">
        <v>40</v>
      </c>
      <c r="D46" s="27" t="s">
        <v>31</v>
      </c>
      <c r="E46" s="33" t="s">
        <v>71</v>
      </c>
      <c r="F46" s="64">
        <f t="shared" si="1"/>
        <v>0</v>
      </c>
      <c r="G46" s="69"/>
      <c r="H46" s="69"/>
      <c r="I46" s="69"/>
      <c r="J46" s="69"/>
      <c r="K46" s="66">
        <f t="shared" si="2"/>
        <v>0</v>
      </c>
      <c r="L46" s="68">
        <f t="shared" si="3"/>
        <v>0</v>
      </c>
      <c r="M46" s="69"/>
      <c r="N46" s="69"/>
      <c r="O46" s="69"/>
      <c r="P46" s="69"/>
      <c r="Q46" s="66">
        <f t="shared" si="4"/>
        <v>0</v>
      </c>
    </row>
    <row r="47" spans="1:17" s="3" customFormat="1" ht="29.25" customHeight="1" x14ac:dyDescent="0.2">
      <c r="A47" s="4"/>
      <c r="B47" s="27" t="s">
        <v>94</v>
      </c>
      <c r="C47" s="27" t="s">
        <v>61</v>
      </c>
      <c r="D47" s="27" t="s">
        <v>32</v>
      </c>
      <c r="E47" s="32" t="s">
        <v>33</v>
      </c>
      <c r="F47" s="64">
        <f t="shared" si="1"/>
        <v>10000</v>
      </c>
      <c r="G47" s="69">
        <f>70000-50000-10000</f>
        <v>10000</v>
      </c>
      <c r="H47" s="69"/>
      <c r="I47" s="69"/>
      <c r="J47" s="69"/>
      <c r="K47" s="66">
        <f t="shared" si="2"/>
        <v>0</v>
      </c>
      <c r="L47" s="68">
        <f t="shared" si="3"/>
        <v>0</v>
      </c>
      <c r="M47" s="69"/>
      <c r="N47" s="69"/>
      <c r="O47" s="69"/>
      <c r="P47" s="69"/>
      <c r="Q47" s="66">
        <f t="shared" si="4"/>
        <v>10000</v>
      </c>
    </row>
    <row r="48" spans="1:17" s="3" customFormat="1" ht="29.25" customHeight="1" x14ac:dyDescent="0.2">
      <c r="A48" s="4"/>
      <c r="B48" s="27" t="s">
        <v>95</v>
      </c>
      <c r="C48" s="27" t="s">
        <v>43</v>
      </c>
      <c r="D48" s="27" t="s">
        <v>32</v>
      </c>
      <c r="E48" s="32" t="s">
        <v>36</v>
      </c>
      <c r="F48" s="64">
        <f t="shared" si="1"/>
        <v>421000</v>
      </c>
      <c r="G48" s="69">
        <f>600000-49000-100000-30000</f>
        <v>421000</v>
      </c>
      <c r="H48" s="69"/>
      <c r="I48" s="69"/>
      <c r="J48" s="69"/>
      <c r="K48" s="66">
        <f t="shared" si="2"/>
        <v>0</v>
      </c>
      <c r="L48" s="68">
        <f t="shared" si="3"/>
        <v>0</v>
      </c>
      <c r="M48" s="69"/>
      <c r="N48" s="69"/>
      <c r="O48" s="69"/>
      <c r="P48" s="69"/>
      <c r="Q48" s="66">
        <f t="shared" si="4"/>
        <v>421000</v>
      </c>
    </row>
    <row r="49" spans="1:17" s="3" customFormat="1" ht="51.75" hidden="1" customHeight="1" x14ac:dyDescent="0.2">
      <c r="A49" s="4"/>
      <c r="B49" s="27" t="s">
        <v>96</v>
      </c>
      <c r="C49" s="27" t="s">
        <v>34</v>
      </c>
      <c r="D49" s="27" t="s">
        <v>23</v>
      </c>
      <c r="E49" s="32" t="s">
        <v>35</v>
      </c>
      <c r="F49" s="64">
        <f t="shared" si="1"/>
        <v>0</v>
      </c>
      <c r="G49" s="69"/>
      <c r="H49" s="69"/>
      <c r="I49" s="69"/>
      <c r="J49" s="69"/>
      <c r="K49" s="66">
        <f t="shared" si="2"/>
        <v>0</v>
      </c>
      <c r="L49" s="68">
        <f t="shared" si="3"/>
        <v>0</v>
      </c>
      <c r="M49" s="69"/>
      <c r="N49" s="69"/>
      <c r="O49" s="69"/>
      <c r="P49" s="69"/>
      <c r="Q49" s="66">
        <f t="shared" si="4"/>
        <v>0</v>
      </c>
    </row>
    <row r="50" spans="1:17" s="3" customFormat="1" ht="29.25" customHeight="1" x14ac:dyDescent="0.2">
      <c r="A50" s="4"/>
      <c r="B50" s="27" t="s">
        <v>97</v>
      </c>
      <c r="C50" s="27" t="s">
        <v>75</v>
      </c>
      <c r="D50" s="27" t="s">
        <v>29</v>
      </c>
      <c r="E50" s="32" t="s">
        <v>76</v>
      </c>
      <c r="F50" s="64">
        <f t="shared" si="1"/>
        <v>14480</v>
      </c>
      <c r="G50" s="69">
        <v>14480</v>
      </c>
      <c r="H50" s="69"/>
      <c r="I50" s="69"/>
      <c r="J50" s="69"/>
      <c r="K50" s="66">
        <f t="shared" si="2"/>
        <v>0</v>
      </c>
      <c r="L50" s="68">
        <f t="shared" si="3"/>
        <v>0</v>
      </c>
      <c r="M50" s="69"/>
      <c r="N50" s="69"/>
      <c r="O50" s="69"/>
      <c r="P50" s="69"/>
      <c r="Q50" s="66">
        <f t="shared" si="4"/>
        <v>14480</v>
      </c>
    </row>
    <row r="51" spans="1:17" s="3" customFormat="1" ht="58.5" hidden="1" customHeight="1" x14ac:dyDescent="0.2">
      <c r="A51" s="4"/>
      <c r="B51" s="27"/>
      <c r="C51" s="27"/>
      <c r="D51" s="27"/>
      <c r="E51" s="32"/>
      <c r="F51" s="64">
        <f t="shared" si="1"/>
        <v>0</v>
      </c>
      <c r="G51" s="69"/>
      <c r="H51" s="69"/>
      <c r="I51" s="69"/>
      <c r="J51" s="69"/>
      <c r="K51" s="66">
        <f t="shared" si="2"/>
        <v>0</v>
      </c>
      <c r="L51" s="68">
        <f t="shared" si="3"/>
        <v>0</v>
      </c>
      <c r="M51" s="69"/>
      <c r="N51" s="69"/>
      <c r="O51" s="69"/>
      <c r="P51" s="69"/>
      <c r="Q51" s="66">
        <f t="shared" si="4"/>
        <v>0</v>
      </c>
    </row>
    <row r="52" spans="1:17" s="3" customFormat="1" ht="45" hidden="1" x14ac:dyDescent="0.2">
      <c r="A52" s="4"/>
      <c r="B52" s="27" t="s">
        <v>187</v>
      </c>
      <c r="C52" s="27" t="s">
        <v>188</v>
      </c>
      <c r="D52" s="27" t="s">
        <v>29</v>
      </c>
      <c r="E52" s="32" t="s">
        <v>189</v>
      </c>
      <c r="F52" s="64">
        <f t="shared" si="1"/>
        <v>0</v>
      </c>
      <c r="G52" s="69">
        <f>145000-145000</f>
        <v>0</v>
      </c>
      <c r="H52" s="69"/>
      <c r="I52" s="69"/>
      <c r="J52" s="69"/>
      <c r="K52" s="66">
        <f t="shared" si="2"/>
        <v>0</v>
      </c>
      <c r="L52" s="68">
        <f t="shared" si="3"/>
        <v>0</v>
      </c>
      <c r="M52" s="69"/>
      <c r="N52" s="69"/>
      <c r="O52" s="69"/>
      <c r="P52" s="69"/>
      <c r="Q52" s="66">
        <f t="shared" si="4"/>
        <v>0</v>
      </c>
    </row>
    <row r="53" spans="1:17" s="3" customFormat="1" ht="30" x14ac:dyDescent="0.2">
      <c r="A53" s="4"/>
      <c r="B53" s="27" t="s">
        <v>98</v>
      </c>
      <c r="C53" s="27" t="s">
        <v>68</v>
      </c>
      <c r="D53" s="27" t="s">
        <v>31</v>
      </c>
      <c r="E53" s="32" t="s">
        <v>139</v>
      </c>
      <c r="F53" s="64">
        <f t="shared" si="1"/>
        <v>74000</v>
      </c>
      <c r="G53" s="69">
        <f>35000+25000+14000</f>
        <v>74000</v>
      </c>
      <c r="H53" s="69"/>
      <c r="I53" s="69"/>
      <c r="J53" s="69"/>
      <c r="K53" s="66">
        <f t="shared" si="2"/>
        <v>0</v>
      </c>
      <c r="L53" s="68">
        <f t="shared" si="3"/>
        <v>0</v>
      </c>
      <c r="M53" s="69"/>
      <c r="N53" s="69"/>
      <c r="O53" s="69"/>
      <c r="P53" s="69"/>
      <c r="Q53" s="66">
        <f t="shared" si="4"/>
        <v>74000</v>
      </c>
    </row>
    <row r="54" spans="1:17" s="3" customFormat="1" ht="30" x14ac:dyDescent="0.2">
      <c r="A54" s="4"/>
      <c r="B54" s="27" t="s">
        <v>247</v>
      </c>
      <c r="C54" s="27" t="s">
        <v>248</v>
      </c>
      <c r="D54" s="27" t="s">
        <v>32</v>
      </c>
      <c r="E54" s="32" t="s">
        <v>249</v>
      </c>
      <c r="F54" s="64">
        <f t="shared" si="1"/>
        <v>950000</v>
      </c>
      <c r="G54" s="69">
        <f>300000+50000+80000+220000+300000</f>
        <v>950000</v>
      </c>
      <c r="H54" s="69"/>
      <c r="I54" s="69"/>
      <c r="J54" s="69"/>
      <c r="K54" s="66">
        <f t="shared" si="2"/>
        <v>0</v>
      </c>
      <c r="L54" s="68">
        <f t="shared" si="3"/>
        <v>0</v>
      </c>
      <c r="M54" s="69"/>
      <c r="N54" s="69"/>
      <c r="O54" s="69"/>
      <c r="P54" s="69"/>
      <c r="Q54" s="66">
        <f t="shared" si="4"/>
        <v>950000</v>
      </c>
    </row>
    <row r="55" spans="1:17" s="3" customFormat="1" ht="30" x14ac:dyDescent="0.2">
      <c r="A55" s="4"/>
      <c r="B55" s="27" t="s">
        <v>153</v>
      </c>
      <c r="C55" s="27" t="s">
        <v>154</v>
      </c>
      <c r="D55" s="27" t="s">
        <v>26</v>
      </c>
      <c r="E55" s="32" t="s">
        <v>155</v>
      </c>
      <c r="F55" s="64">
        <f t="shared" si="1"/>
        <v>7197691</v>
      </c>
      <c r="G55" s="69">
        <f>7367520-169829</f>
        <v>7197691</v>
      </c>
      <c r="H55" s="69">
        <f>5451200+79323</f>
        <v>5530523</v>
      </c>
      <c r="I55" s="69">
        <f>364800-169829-18387</f>
        <v>176584</v>
      </c>
      <c r="J55" s="69"/>
      <c r="K55" s="66">
        <f t="shared" si="2"/>
        <v>125000</v>
      </c>
      <c r="L55" s="68">
        <f t="shared" si="3"/>
        <v>0</v>
      </c>
      <c r="M55" s="69">
        <v>125000</v>
      </c>
      <c r="N55" s="69"/>
      <c r="O55" s="69"/>
      <c r="P55" s="69"/>
      <c r="Q55" s="66">
        <f t="shared" si="4"/>
        <v>7322691</v>
      </c>
    </row>
    <row r="56" spans="1:17" s="3" customFormat="1" ht="21.75" customHeight="1" x14ac:dyDescent="0.2">
      <c r="A56" s="4"/>
      <c r="B56" s="82" t="s">
        <v>99</v>
      </c>
      <c r="C56" s="82" t="s">
        <v>81</v>
      </c>
      <c r="D56" s="82" t="s">
        <v>26</v>
      </c>
      <c r="E56" s="89" t="s">
        <v>157</v>
      </c>
      <c r="F56" s="64">
        <f t="shared" si="1"/>
        <v>783000</v>
      </c>
      <c r="G56" s="69">
        <f>400000+150000+26000+40000+194000+40000-67000</f>
        <v>783000</v>
      </c>
      <c r="H56" s="69"/>
      <c r="I56" s="69"/>
      <c r="J56" s="69"/>
      <c r="K56" s="66">
        <f t="shared" si="2"/>
        <v>0</v>
      </c>
      <c r="L56" s="68">
        <f t="shared" si="3"/>
        <v>0</v>
      </c>
      <c r="M56" s="69"/>
      <c r="N56" s="69"/>
      <c r="O56" s="69"/>
      <c r="P56" s="69"/>
      <c r="Q56" s="66">
        <f t="shared" si="4"/>
        <v>783000</v>
      </c>
    </row>
    <row r="57" spans="1:17" s="3" customFormat="1" ht="23.25" hidden="1" customHeight="1" x14ac:dyDescent="0.2">
      <c r="A57" s="4"/>
      <c r="B57" s="83"/>
      <c r="C57" s="83"/>
      <c r="D57" s="83"/>
      <c r="E57" s="90"/>
      <c r="F57" s="64">
        <f t="shared" si="1"/>
        <v>0</v>
      </c>
      <c r="G57" s="69"/>
      <c r="H57" s="69"/>
      <c r="I57" s="69"/>
      <c r="J57" s="69"/>
      <c r="K57" s="66">
        <f t="shared" si="2"/>
        <v>0</v>
      </c>
      <c r="L57" s="68">
        <f t="shared" si="3"/>
        <v>0</v>
      </c>
      <c r="M57" s="69"/>
      <c r="N57" s="69"/>
      <c r="O57" s="69"/>
      <c r="P57" s="69"/>
      <c r="Q57" s="66">
        <f t="shared" si="4"/>
        <v>0</v>
      </c>
    </row>
    <row r="58" spans="1:17" s="3" customFormat="1" ht="15" hidden="1" x14ac:dyDescent="0.2">
      <c r="A58" s="4"/>
      <c r="B58" s="83"/>
      <c r="C58" s="83"/>
      <c r="D58" s="83"/>
      <c r="E58" s="32"/>
      <c r="F58" s="64">
        <f t="shared" si="1"/>
        <v>0</v>
      </c>
      <c r="G58" s="69"/>
      <c r="H58" s="69"/>
      <c r="I58" s="69"/>
      <c r="J58" s="69"/>
      <c r="K58" s="66">
        <f t="shared" si="2"/>
        <v>0</v>
      </c>
      <c r="L58" s="68">
        <f t="shared" si="3"/>
        <v>0</v>
      </c>
      <c r="M58" s="69"/>
      <c r="N58" s="69"/>
      <c r="O58" s="69"/>
      <c r="P58" s="69"/>
      <c r="Q58" s="66">
        <f t="shared" si="4"/>
        <v>0</v>
      </c>
    </row>
    <row r="59" spans="1:17" s="3" customFormat="1" ht="15" hidden="1" x14ac:dyDescent="0.2">
      <c r="A59" s="4"/>
      <c r="B59" s="84"/>
      <c r="C59" s="84"/>
      <c r="D59" s="84"/>
      <c r="E59" s="63"/>
      <c r="F59" s="64">
        <f t="shared" si="1"/>
        <v>0</v>
      </c>
      <c r="G59" s="69"/>
      <c r="H59" s="69"/>
      <c r="I59" s="69"/>
      <c r="J59" s="69"/>
      <c r="K59" s="66">
        <f t="shared" si="2"/>
        <v>0</v>
      </c>
      <c r="L59" s="68"/>
      <c r="M59" s="69"/>
      <c r="N59" s="69"/>
      <c r="O59" s="69"/>
      <c r="P59" s="69"/>
      <c r="Q59" s="66">
        <f t="shared" si="4"/>
        <v>0</v>
      </c>
    </row>
    <row r="60" spans="1:17" s="3" customFormat="1" ht="15" x14ac:dyDescent="0.2">
      <c r="A60" s="4"/>
      <c r="B60" s="27" t="s">
        <v>100</v>
      </c>
      <c r="C60" s="27" t="s">
        <v>62</v>
      </c>
      <c r="D60" s="27" t="s">
        <v>39</v>
      </c>
      <c r="E60" s="32" t="s">
        <v>64</v>
      </c>
      <c r="F60" s="64">
        <f t="shared" si="1"/>
        <v>3648735</v>
      </c>
      <c r="G60" s="69">
        <f>3696400+4000+7535-49200-10000</f>
        <v>3648735</v>
      </c>
      <c r="H60" s="69">
        <v>2836700</v>
      </c>
      <c r="I60" s="69">
        <f>27000+4000-1800</f>
        <v>29200</v>
      </c>
      <c r="J60" s="69"/>
      <c r="K60" s="66">
        <f t="shared" si="2"/>
        <v>5000</v>
      </c>
      <c r="L60" s="68">
        <f t="shared" si="3"/>
        <v>0</v>
      </c>
      <c r="M60" s="69">
        <v>5000</v>
      </c>
      <c r="N60" s="69"/>
      <c r="O60" s="69"/>
      <c r="P60" s="69"/>
      <c r="Q60" s="66">
        <f t="shared" si="4"/>
        <v>3653735</v>
      </c>
    </row>
    <row r="61" spans="1:17" s="3" customFormat="1" ht="30" x14ac:dyDescent="0.2">
      <c r="A61" s="4"/>
      <c r="B61" s="27" t="s">
        <v>101</v>
      </c>
      <c r="C61" s="27" t="s">
        <v>37</v>
      </c>
      <c r="D61" s="27" t="s">
        <v>38</v>
      </c>
      <c r="E61" s="32" t="s">
        <v>65</v>
      </c>
      <c r="F61" s="64">
        <f t="shared" si="1"/>
        <v>7127836</v>
      </c>
      <c r="G61" s="69">
        <f>7207800+40000+4260-150000-41370+32228-269122+304040</f>
        <v>7127836</v>
      </c>
      <c r="H61" s="69">
        <f>5516400-406287</f>
        <v>5110113</v>
      </c>
      <c r="I61" s="69">
        <f>470000+40000-150000-41370+100000</f>
        <v>418630</v>
      </c>
      <c r="J61" s="69"/>
      <c r="K61" s="66">
        <f t="shared" si="2"/>
        <v>71000</v>
      </c>
      <c r="L61" s="68">
        <f t="shared" si="3"/>
        <v>14000</v>
      </c>
      <c r="M61" s="69">
        <f>15000+42000</f>
        <v>57000</v>
      </c>
      <c r="N61" s="69"/>
      <c r="O61" s="69"/>
      <c r="P61" s="69">
        <v>14000</v>
      </c>
      <c r="Q61" s="66">
        <f t="shared" si="4"/>
        <v>7198836</v>
      </c>
    </row>
    <row r="62" spans="1:17" s="3" customFormat="1" ht="15" hidden="1" x14ac:dyDescent="0.2">
      <c r="A62" s="4"/>
      <c r="B62" s="27" t="s">
        <v>162</v>
      </c>
      <c r="C62" s="27" t="s">
        <v>163</v>
      </c>
      <c r="D62" s="27" t="s">
        <v>164</v>
      </c>
      <c r="E62" s="32" t="s">
        <v>165</v>
      </c>
      <c r="F62" s="64">
        <f t="shared" si="1"/>
        <v>0</v>
      </c>
      <c r="G62" s="69"/>
      <c r="H62" s="69"/>
      <c r="I62" s="69"/>
      <c r="J62" s="69"/>
      <c r="K62" s="66">
        <f t="shared" si="2"/>
        <v>0</v>
      </c>
      <c r="L62" s="68">
        <f t="shared" si="3"/>
        <v>0</v>
      </c>
      <c r="M62" s="69"/>
      <c r="N62" s="69"/>
      <c r="O62" s="69"/>
      <c r="P62" s="69"/>
      <c r="Q62" s="66">
        <f t="shared" si="4"/>
        <v>0</v>
      </c>
    </row>
    <row r="63" spans="1:17" s="3" customFormat="1" ht="30" x14ac:dyDescent="0.2">
      <c r="A63" s="4"/>
      <c r="B63" s="27" t="s">
        <v>102</v>
      </c>
      <c r="C63" s="27" t="s">
        <v>50</v>
      </c>
      <c r="D63" s="27" t="s">
        <v>30</v>
      </c>
      <c r="E63" s="32" t="s">
        <v>42</v>
      </c>
      <c r="F63" s="64">
        <f t="shared" si="1"/>
        <v>2550579</v>
      </c>
      <c r="G63" s="69">
        <f>2419800+51000-100000-32246+212025</f>
        <v>2550579</v>
      </c>
      <c r="H63" s="69">
        <f>1466700+27500</f>
        <v>1494200</v>
      </c>
      <c r="I63" s="69">
        <f>584400+51000-100000-32246+174125</f>
        <v>677279</v>
      </c>
      <c r="J63" s="69"/>
      <c r="K63" s="66">
        <f t="shared" si="2"/>
        <v>0</v>
      </c>
      <c r="L63" s="68">
        <f t="shared" si="3"/>
        <v>0</v>
      </c>
      <c r="M63" s="69"/>
      <c r="N63" s="69"/>
      <c r="O63" s="69"/>
      <c r="P63" s="69"/>
      <c r="Q63" s="66">
        <f t="shared" si="4"/>
        <v>2550579</v>
      </c>
    </row>
    <row r="64" spans="1:17" s="3" customFormat="1" ht="15" x14ac:dyDescent="0.2">
      <c r="A64" s="4"/>
      <c r="B64" s="27" t="s">
        <v>103</v>
      </c>
      <c r="C64" s="27" t="s">
        <v>51</v>
      </c>
      <c r="D64" s="27" t="s">
        <v>30</v>
      </c>
      <c r="E64" s="32" t="s">
        <v>229</v>
      </c>
      <c r="F64" s="64">
        <f t="shared" si="1"/>
        <v>533100</v>
      </c>
      <c r="G64" s="69">
        <f>530000+13000-9900</f>
        <v>533100</v>
      </c>
      <c r="H64" s="69"/>
      <c r="I64" s="69"/>
      <c r="J64" s="69"/>
      <c r="K64" s="66">
        <f t="shared" si="2"/>
        <v>9900</v>
      </c>
      <c r="L64" s="68">
        <f t="shared" si="3"/>
        <v>9900</v>
      </c>
      <c r="M64" s="69"/>
      <c r="N64" s="69"/>
      <c r="O64" s="69"/>
      <c r="P64" s="69">
        <f>9900</f>
        <v>9900</v>
      </c>
      <c r="Q64" s="66">
        <f t="shared" si="4"/>
        <v>543000</v>
      </c>
    </row>
    <row r="65" spans="1:17" s="3" customFormat="1" ht="29.25" hidden="1" customHeight="1" x14ac:dyDescent="0.2">
      <c r="A65" s="4"/>
      <c r="B65" s="27"/>
      <c r="C65" s="27"/>
      <c r="D65" s="27"/>
      <c r="E65" s="32"/>
      <c r="F65" s="64">
        <f t="shared" si="1"/>
        <v>0</v>
      </c>
      <c r="G65" s="69"/>
      <c r="H65" s="69"/>
      <c r="I65" s="69"/>
      <c r="J65" s="69"/>
      <c r="K65" s="66">
        <f t="shared" si="2"/>
        <v>0</v>
      </c>
      <c r="L65" s="68">
        <f t="shared" si="3"/>
        <v>0</v>
      </c>
      <c r="M65" s="69"/>
      <c r="N65" s="69"/>
      <c r="O65" s="69"/>
      <c r="P65" s="69"/>
      <c r="Q65" s="66">
        <f t="shared" si="4"/>
        <v>0</v>
      </c>
    </row>
    <row r="66" spans="1:17" s="3" customFormat="1" ht="15" hidden="1" x14ac:dyDescent="0.2">
      <c r="A66" s="4"/>
      <c r="B66" s="27"/>
      <c r="C66" s="27"/>
      <c r="D66" s="27"/>
      <c r="E66" s="32"/>
      <c r="F66" s="64">
        <f t="shared" si="1"/>
        <v>0</v>
      </c>
      <c r="G66" s="69"/>
      <c r="H66" s="69"/>
      <c r="I66" s="69"/>
      <c r="J66" s="69"/>
      <c r="K66" s="66">
        <f t="shared" si="2"/>
        <v>0</v>
      </c>
      <c r="L66" s="68">
        <f t="shared" si="3"/>
        <v>0</v>
      </c>
      <c r="M66" s="69"/>
      <c r="N66" s="69"/>
      <c r="O66" s="69"/>
      <c r="P66" s="69"/>
      <c r="Q66" s="66">
        <f t="shared" si="4"/>
        <v>0</v>
      </c>
    </row>
    <row r="67" spans="1:17" s="3" customFormat="1" ht="15" x14ac:dyDescent="0.2">
      <c r="A67" s="4"/>
      <c r="B67" s="27" t="s">
        <v>259</v>
      </c>
      <c r="C67" s="27" t="s">
        <v>260</v>
      </c>
      <c r="D67" s="27" t="s">
        <v>220</v>
      </c>
      <c r="E67" s="32" t="s">
        <v>261</v>
      </c>
      <c r="F67" s="64">
        <f t="shared" si="1"/>
        <v>400000</v>
      </c>
      <c r="G67" s="69">
        <v>400000</v>
      </c>
      <c r="H67" s="69"/>
      <c r="I67" s="69"/>
      <c r="J67" s="69"/>
      <c r="K67" s="66">
        <f t="shared" si="2"/>
        <v>0</v>
      </c>
      <c r="L67" s="68">
        <f t="shared" si="3"/>
        <v>0</v>
      </c>
      <c r="M67" s="69"/>
      <c r="N67" s="69"/>
      <c r="O67" s="69"/>
      <c r="P67" s="69"/>
      <c r="Q67" s="66">
        <f t="shared" si="4"/>
        <v>400000</v>
      </c>
    </row>
    <row r="68" spans="1:17" s="3" customFormat="1" ht="15" x14ac:dyDescent="0.2">
      <c r="A68" s="4"/>
      <c r="B68" s="27" t="s">
        <v>104</v>
      </c>
      <c r="C68" s="27" t="s">
        <v>109</v>
      </c>
      <c r="D68" s="27" t="s">
        <v>116</v>
      </c>
      <c r="E68" s="32" t="s">
        <v>114</v>
      </c>
      <c r="F68" s="64">
        <f t="shared" si="1"/>
        <v>5687732</v>
      </c>
      <c r="G68" s="69">
        <f>3285810+1250000-150000-242100+349000-49000+70000+1170000+49000+250000+200000-494978</f>
        <v>5687732</v>
      </c>
      <c r="H68" s="69">
        <f>100000-66877</f>
        <v>33123</v>
      </c>
      <c r="I68" s="69">
        <f>1812800-626000+50000-231488</f>
        <v>1005312</v>
      </c>
      <c r="J68" s="69"/>
      <c r="K68" s="66">
        <f t="shared" si="2"/>
        <v>411733</v>
      </c>
      <c r="L68" s="68">
        <f t="shared" si="3"/>
        <v>411733</v>
      </c>
      <c r="M68" s="69"/>
      <c r="N68" s="69"/>
      <c r="O68" s="69"/>
      <c r="P68" s="69">
        <f>173238+36000-64538+267033</f>
        <v>411733</v>
      </c>
      <c r="Q68" s="66">
        <f>F68+K68</f>
        <v>6099465</v>
      </c>
    </row>
    <row r="69" spans="1:17" s="3" customFormat="1" ht="29.25" hidden="1" customHeight="1" x14ac:dyDescent="0.2">
      <c r="A69" s="4"/>
      <c r="B69" s="53"/>
      <c r="C69" s="53"/>
      <c r="D69" s="53"/>
      <c r="E69" s="49"/>
      <c r="F69" s="64">
        <f t="shared" si="1"/>
        <v>0</v>
      </c>
      <c r="G69" s="69"/>
      <c r="H69" s="69"/>
      <c r="I69" s="69"/>
      <c r="J69" s="69"/>
      <c r="K69" s="66">
        <f t="shared" si="2"/>
        <v>0</v>
      </c>
      <c r="L69" s="68">
        <f t="shared" si="3"/>
        <v>0</v>
      </c>
      <c r="M69" s="69"/>
      <c r="N69" s="69"/>
      <c r="O69" s="69"/>
      <c r="P69" s="69"/>
      <c r="Q69" s="66">
        <f>F69+K69</f>
        <v>0</v>
      </c>
    </row>
    <row r="70" spans="1:17" s="3" customFormat="1" ht="57.75" hidden="1" customHeight="1" x14ac:dyDescent="0.2">
      <c r="A70" s="4"/>
      <c r="B70" s="27" t="s">
        <v>217</v>
      </c>
      <c r="C70" s="27" t="s">
        <v>218</v>
      </c>
      <c r="D70" s="27" t="s">
        <v>220</v>
      </c>
      <c r="E70" s="32" t="s">
        <v>219</v>
      </c>
      <c r="F70" s="64">
        <f t="shared" si="1"/>
        <v>0</v>
      </c>
      <c r="G70" s="69"/>
      <c r="H70" s="69"/>
      <c r="I70" s="69"/>
      <c r="J70" s="69"/>
      <c r="K70" s="66">
        <f t="shared" si="2"/>
        <v>0</v>
      </c>
      <c r="L70" s="68">
        <f t="shared" si="3"/>
        <v>0</v>
      </c>
      <c r="M70" s="69"/>
      <c r="N70" s="69"/>
      <c r="O70" s="69"/>
      <c r="P70" s="69"/>
      <c r="Q70" s="66">
        <f>F70+K70</f>
        <v>0</v>
      </c>
    </row>
    <row r="71" spans="1:17" s="3" customFormat="1" ht="15" x14ac:dyDescent="0.2">
      <c r="A71" s="4"/>
      <c r="B71" s="27" t="s">
        <v>175</v>
      </c>
      <c r="C71" s="27" t="s">
        <v>176</v>
      </c>
      <c r="D71" s="27" t="s">
        <v>178</v>
      </c>
      <c r="E71" s="54" t="s">
        <v>177</v>
      </c>
      <c r="F71" s="64">
        <f t="shared" si="1"/>
        <v>1830102</v>
      </c>
      <c r="G71" s="69">
        <f>663302+150000-383900+505000+485700+410000</f>
        <v>1830102</v>
      </c>
      <c r="H71" s="69"/>
      <c r="I71" s="69"/>
      <c r="J71" s="69"/>
      <c r="K71" s="66">
        <f t="shared" si="2"/>
        <v>0</v>
      </c>
      <c r="L71" s="68">
        <f t="shared" si="3"/>
        <v>0</v>
      </c>
      <c r="M71" s="69"/>
      <c r="N71" s="69"/>
      <c r="O71" s="69"/>
      <c r="P71" s="69"/>
      <c r="Q71" s="66">
        <f t="shared" si="4"/>
        <v>1830102</v>
      </c>
    </row>
    <row r="72" spans="1:17" s="3" customFormat="1" ht="15" x14ac:dyDescent="0.2">
      <c r="A72" s="4"/>
      <c r="B72" s="27" t="s">
        <v>171</v>
      </c>
      <c r="C72" s="27" t="s">
        <v>172</v>
      </c>
      <c r="D72" s="27" t="s">
        <v>174</v>
      </c>
      <c r="E72" s="32" t="s">
        <v>173</v>
      </c>
      <c r="F72" s="64">
        <f t="shared" si="1"/>
        <v>257921</v>
      </c>
      <c r="G72" s="69">
        <f>385000+40000-417500+10000+34000-22777+229198</f>
        <v>257921</v>
      </c>
      <c r="H72" s="69"/>
      <c r="I72" s="69"/>
      <c r="J72" s="69"/>
      <c r="K72" s="66">
        <f t="shared" si="2"/>
        <v>0</v>
      </c>
      <c r="L72" s="68">
        <f t="shared" si="3"/>
        <v>0</v>
      </c>
      <c r="M72" s="69"/>
      <c r="N72" s="69"/>
      <c r="O72" s="69"/>
      <c r="P72" s="69"/>
      <c r="Q72" s="66">
        <f t="shared" si="4"/>
        <v>257921</v>
      </c>
    </row>
    <row r="73" spans="1:17" s="3" customFormat="1" ht="50.25" hidden="1" customHeight="1" x14ac:dyDescent="0.2">
      <c r="A73" s="4"/>
      <c r="B73" s="27"/>
      <c r="C73" s="27"/>
      <c r="D73" s="27"/>
      <c r="E73" s="32"/>
      <c r="F73" s="64">
        <f t="shared" si="1"/>
        <v>0</v>
      </c>
      <c r="G73" s="69"/>
      <c r="H73" s="69"/>
      <c r="I73" s="69"/>
      <c r="J73" s="69"/>
      <c r="K73" s="66">
        <f t="shared" si="2"/>
        <v>0</v>
      </c>
      <c r="L73" s="68">
        <f t="shared" si="3"/>
        <v>0</v>
      </c>
      <c r="M73" s="69"/>
      <c r="N73" s="69"/>
      <c r="O73" s="69"/>
      <c r="P73" s="69"/>
      <c r="Q73" s="66">
        <f t="shared" si="4"/>
        <v>0</v>
      </c>
    </row>
    <row r="74" spans="1:17" s="3" customFormat="1" ht="45" hidden="1" customHeight="1" x14ac:dyDescent="0.2">
      <c r="A74" s="4"/>
      <c r="B74" s="27"/>
      <c r="C74" s="27"/>
      <c r="D74" s="27"/>
      <c r="E74" s="32"/>
      <c r="F74" s="64">
        <f t="shared" si="1"/>
        <v>0</v>
      </c>
      <c r="G74" s="69"/>
      <c r="H74" s="69"/>
      <c r="I74" s="69"/>
      <c r="J74" s="69"/>
      <c r="K74" s="66">
        <f t="shared" si="2"/>
        <v>0</v>
      </c>
      <c r="L74" s="68">
        <f t="shared" si="3"/>
        <v>0</v>
      </c>
      <c r="M74" s="69"/>
      <c r="N74" s="69"/>
      <c r="O74" s="69"/>
      <c r="P74" s="69"/>
      <c r="Q74" s="66">
        <f t="shared" si="4"/>
        <v>0</v>
      </c>
    </row>
    <row r="75" spans="1:17" s="3" customFormat="1" ht="20.25" hidden="1" customHeight="1" x14ac:dyDescent="0.2">
      <c r="A75" s="4"/>
      <c r="B75" s="27" t="s">
        <v>213</v>
      </c>
      <c r="C75" s="27" t="s">
        <v>214</v>
      </c>
      <c r="D75" s="27" t="s">
        <v>215</v>
      </c>
      <c r="E75" s="32" t="s">
        <v>216</v>
      </c>
      <c r="F75" s="64">
        <f t="shared" si="1"/>
        <v>0</v>
      </c>
      <c r="G75" s="69"/>
      <c r="H75" s="69"/>
      <c r="I75" s="69"/>
      <c r="J75" s="69"/>
      <c r="K75" s="66">
        <f t="shared" si="2"/>
        <v>0</v>
      </c>
      <c r="L75" s="68">
        <f t="shared" si="3"/>
        <v>0</v>
      </c>
      <c r="M75" s="69"/>
      <c r="N75" s="69"/>
      <c r="O75" s="69"/>
      <c r="P75" s="69"/>
      <c r="Q75" s="66">
        <f t="shared" si="4"/>
        <v>0</v>
      </c>
    </row>
    <row r="76" spans="1:17" s="3" customFormat="1" ht="20.25" customHeight="1" x14ac:dyDescent="0.2">
      <c r="A76" s="4"/>
      <c r="B76" s="27" t="s">
        <v>213</v>
      </c>
      <c r="C76" s="27" t="s">
        <v>214</v>
      </c>
      <c r="D76" s="27" t="s">
        <v>215</v>
      </c>
      <c r="E76" s="32" t="s">
        <v>216</v>
      </c>
      <c r="F76" s="64">
        <f t="shared" si="1"/>
        <v>50000</v>
      </c>
      <c r="G76" s="69">
        <v>50000</v>
      </c>
      <c r="H76" s="69"/>
      <c r="I76" s="69"/>
      <c r="J76" s="69"/>
      <c r="K76" s="66">
        <f t="shared" si="2"/>
        <v>0</v>
      </c>
      <c r="L76" s="68">
        <f t="shared" si="3"/>
        <v>0</v>
      </c>
      <c r="M76" s="69"/>
      <c r="N76" s="69"/>
      <c r="O76" s="69"/>
      <c r="P76" s="69"/>
      <c r="Q76" s="66">
        <f t="shared" si="4"/>
        <v>50000</v>
      </c>
    </row>
    <row r="77" spans="1:17" s="3" customFormat="1" ht="27" customHeight="1" x14ac:dyDescent="0.2">
      <c r="A77" s="4"/>
      <c r="B77" s="27" t="s">
        <v>239</v>
      </c>
      <c r="C77" s="27" t="s">
        <v>240</v>
      </c>
      <c r="D77" s="27" t="s">
        <v>241</v>
      </c>
      <c r="E77" s="32" t="s">
        <v>242</v>
      </c>
      <c r="F77" s="64">
        <f t="shared" si="1"/>
        <v>0</v>
      </c>
      <c r="G77" s="69"/>
      <c r="H77" s="69"/>
      <c r="I77" s="69"/>
      <c r="J77" s="69"/>
      <c r="K77" s="66">
        <f t="shared" si="2"/>
        <v>446880</v>
      </c>
      <c r="L77" s="71">
        <f t="shared" si="3"/>
        <v>446880</v>
      </c>
      <c r="M77" s="69"/>
      <c r="N77" s="69"/>
      <c r="O77" s="69"/>
      <c r="P77" s="69">
        <f>49968+396912</f>
        <v>446880</v>
      </c>
      <c r="Q77" s="66">
        <f t="shared" si="4"/>
        <v>446880</v>
      </c>
    </row>
    <row r="78" spans="1:17" s="3" customFormat="1" ht="33" hidden="1" customHeight="1" x14ac:dyDescent="0.2">
      <c r="A78" s="4"/>
      <c r="B78" s="27" t="s">
        <v>233</v>
      </c>
      <c r="C78" s="27" t="s">
        <v>234</v>
      </c>
      <c r="D78" s="27" t="s">
        <v>48</v>
      </c>
      <c r="E78" s="32" t="s">
        <v>235</v>
      </c>
      <c r="F78" s="64">
        <f t="shared" si="1"/>
        <v>0</v>
      </c>
      <c r="G78" s="69"/>
      <c r="H78" s="69"/>
      <c r="I78" s="69"/>
      <c r="J78" s="69"/>
      <c r="K78" s="66">
        <f t="shared" si="2"/>
        <v>0</v>
      </c>
      <c r="L78" s="68">
        <f t="shared" si="3"/>
        <v>0</v>
      </c>
      <c r="M78" s="69"/>
      <c r="N78" s="69"/>
      <c r="O78" s="69"/>
      <c r="P78" s="69">
        <f>580233-580233</f>
        <v>0</v>
      </c>
      <c r="Q78" s="66">
        <f t="shared" si="4"/>
        <v>0</v>
      </c>
    </row>
    <row r="79" spans="1:17" s="3" customFormat="1" ht="30" x14ac:dyDescent="0.2">
      <c r="A79" s="4"/>
      <c r="B79" s="27" t="s">
        <v>185</v>
      </c>
      <c r="C79" s="27" t="s">
        <v>186</v>
      </c>
      <c r="D79" s="27" t="s">
        <v>48</v>
      </c>
      <c r="E79" s="32" t="s">
        <v>74</v>
      </c>
      <c r="F79" s="64">
        <f t="shared" si="1"/>
        <v>0</v>
      </c>
      <c r="G79" s="69"/>
      <c r="H79" s="69"/>
      <c r="I79" s="69"/>
      <c r="J79" s="69"/>
      <c r="K79" s="66">
        <f t="shared" si="2"/>
        <v>4114002.4299999997</v>
      </c>
      <c r="L79" s="68">
        <f t="shared" si="3"/>
        <v>4114002.4299999997</v>
      </c>
      <c r="M79" s="69"/>
      <c r="N79" s="69"/>
      <c r="O79" s="69"/>
      <c r="P79" s="69">
        <f>4114002.36+0.07</f>
        <v>4114002.4299999997</v>
      </c>
      <c r="Q79" s="66">
        <f t="shared" si="4"/>
        <v>4114002.4299999997</v>
      </c>
    </row>
    <row r="80" spans="1:17" s="3" customFormat="1" ht="35.25" customHeight="1" x14ac:dyDescent="0.2">
      <c r="A80" s="4"/>
      <c r="B80" s="27" t="s">
        <v>236</v>
      </c>
      <c r="C80" s="27" t="s">
        <v>237</v>
      </c>
      <c r="D80" s="27" t="s">
        <v>48</v>
      </c>
      <c r="E80" s="32" t="s">
        <v>238</v>
      </c>
      <c r="F80" s="64">
        <f t="shared" si="1"/>
        <v>0</v>
      </c>
      <c r="G80" s="69"/>
      <c r="H80" s="69"/>
      <c r="I80" s="69"/>
      <c r="J80" s="69"/>
      <c r="K80" s="66">
        <f t="shared" si="2"/>
        <v>1787877.36</v>
      </c>
      <c r="L80" s="68">
        <f t="shared" si="3"/>
        <v>1787877.36</v>
      </c>
      <c r="M80" s="69"/>
      <c r="N80" s="69"/>
      <c r="O80" s="69"/>
      <c r="P80" s="69">
        <v>1787877.36</v>
      </c>
      <c r="Q80" s="66">
        <f t="shared" si="4"/>
        <v>1787877.36</v>
      </c>
    </row>
    <row r="81" spans="1:17" s="3" customFormat="1" ht="15" x14ac:dyDescent="0.2">
      <c r="A81" s="4"/>
      <c r="B81" s="36" t="s">
        <v>204</v>
      </c>
      <c r="C81" s="37">
        <v>7390</v>
      </c>
      <c r="D81" s="34" t="s">
        <v>48</v>
      </c>
      <c r="E81" s="32" t="s">
        <v>205</v>
      </c>
      <c r="F81" s="64">
        <f t="shared" si="1"/>
        <v>0</v>
      </c>
      <c r="G81" s="69"/>
      <c r="H81" s="69"/>
      <c r="I81" s="69"/>
      <c r="J81" s="69"/>
      <c r="K81" s="66">
        <f t="shared" si="2"/>
        <v>613674.38</v>
      </c>
      <c r="L81" s="68">
        <f t="shared" si="3"/>
        <v>613674.38</v>
      </c>
      <c r="M81" s="69"/>
      <c r="N81" s="69"/>
      <c r="O81" s="69"/>
      <c r="P81" s="69">
        <f>200000+370399.38+24275+19000</f>
        <v>613674.38</v>
      </c>
      <c r="Q81" s="66">
        <f t="shared" si="4"/>
        <v>613674.38</v>
      </c>
    </row>
    <row r="82" spans="1:17" s="3" customFormat="1" ht="15" hidden="1" x14ac:dyDescent="0.2">
      <c r="A82" s="4"/>
      <c r="B82" s="36"/>
      <c r="C82" s="37"/>
      <c r="D82" s="34"/>
      <c r="E82" s="32"/>
      <c r="F82" s="64"/>
      <c r="G82" s="69"/>
      <c r="H82" s="69"/>
      <c r="I82" s="69"/>
      <c r="J82" s="69"/>
      <c r="K82" s="66"/>
      <c r="L82" s="68"/>
      <c r="M82" s="69"/>
      <c r="N82" s="69"/>
      <c r="O82" s="69"/>
      <c r="P82" s="69"/>
      <c r="Q82" s="66"/>
    </row>
    <row r="83" spans="1:17" s="3" customFormat="1" ht="30" x14ac:dyDescent="0.2">
      <c r="A83" s="4"/>
      <c r="B83" s="27" t="s">
        <v>105</v>
      </c>
      <c r="C83" s="27" t="s">
        <v>110</v>
      </c>
      <c r="D83" s="27" t="s">
        <v>117</v>
      </c>
      <c r="E83" s="32" t="s">
        <v>115</v>
      </c>
      <c r="F83" s="64">
        <f t="shared" si="1"/>
        <v>1346641</v>
      </c>
      <c r="G83" s="69">
        <f>1000000+18576+370000-41935</f>
        <v>1346641</v>
      </c>
      <c r="H83" s="69"/>
      <c r="I83" s="69"/>
      <c r="J83" s="69"/>
      <c r="K83" s="66">
        <f t="shared" si="2"/>
        <v>13706550</v>
      </c>
      <c r="L83" s="68">
        <f t="shared" si="3"/>
        <v>13706550</v>
      </c>
      <c r="M83" s="69"/>
      <c r="N83" s="69"/>
      <c r="O83" s="69"/>
      <c r="P83" s="69">
        <f>5490000+118200+2784917+220383+489200+375000+1201100+3027750</f>
        <v>13706550</v>
      </c>
      <c r="Q83" s="66">
        <f t="shared" si="4"/>
        <v>15053191</v>
      </c>
    </row>
    <row r="84" spans="1:17" s="3" customFormat="1" ht="15" x14ac:dyDescent="0.2">
      <c r="A84" s="4"/>
      <c r="B84" s="27" t="s">
        <v>223</v>
      </c>
      <c r="C84" s="27" t="s">
        <v>224</v>
      </c>
      <c r="D84" s="27" t="s">
        <v>48</v>
      </c>
      <c r="E84" s="32" t="s">
        <v>225</v>
      </c>
      <c r="F84" s="64">
        <f t="shared" si="1"/>
        <v>0</v>
      </c>
      <c r="G84" s="69"/>
      <c r="H84" s="69"/>
      <c r="I84" s="69"/>
      <c r="J84" s="69"/>
      <c r="K84" s="66">
        <f t="shared" si="2"/>
        <v>4500</v>
      </c>
      <c r="L84" s="68">
        <f t="shared" si="3"/>
        <v>4500</v>
      </c>
      <c r="M84" s="69"/>
      <c r="N84" s="69"/>
      <c r="O84" s="69"/>
      <c r="P84" s="69">
        <v>4500</v>
      </c>
      <c r="Q84" s="66">
        <f t="shared" si="4"/>
        <v>4500</v>
      </c>
    </row>
    <row r="85" spans="1:17" s="3" customFormat="1" ht="15" hidden="1" x14ac:dyDescent="0.2">
      <c r="A85" s="4"/>
      <c r="B85" s="27" t="s">
        <v>210</v>
      </c>
      <c r="C85" s="27" t="s">
        <v>211</v>
      </c>
      <c r="D85" s="27" t="s">
        <v>48</v>
      </c>
      <c r="E85" s="32" t="s">
        <v>212</v>
      </c>
      <c r="F85" s="64">
        <f t="shared" si="1"/>
        <v>0</v>
      </c>
      <c r="G85" s="69">
        <f>700000-150000-550000</f>
        <v>0</v>
      </c>
      <c r="H85" s="69"/>
      <c r="I85" s="69"/>
      <c r="J85" s="69"/>
      <c r="K85" s="66">
        <f t="shared" si="2"/>
        <v>0</v>
      </c>
      <c r="L85" s="68">
        <f t="shared" si="3"/>
        <v>0</v>
      </c>
      <c r="M85" s="69"/>
      <c r="N85" s="69"/>
      <c r="O85" s="69"/>
      <c r="P85" s="69"/>
      <c r="Q85" s="66">
        <f t="shared" si="4"/>
        <v>0</v>
      </c>
    </row>
    <row r="86" spans="1:17" s="3" customFormat="1" ht="15" hidden="1" x14ac:dyDescent="0.2">
      <c r="A86" s="4"/>
      <c r="B86" s="27"/>
      <c r="C86" s="27"/>
      <c r="D86" s="27"/>
      <c r="E86" s="32"/>
      <c r="F86" s="64"/>
      <c r="G86" s="69"/>
      <c r="H86" s="69"/>
      <c r="I86" s="69"/>
      <c r="J86" s="69"/>
      <c r="K86" s="66"/>
      <c r="L86" s="68"/>
      <c r="M86" s="69"/>
      <c r="N86" s="69"/>
      <c r="O86" s="69"/>
      <c r="P86" s="69"/>
      <c r="Q86" s="66"/>
    </row>
    <row r="87" spans="1:17" s="3" customFormat="1" ht="15" x14ac:dyDescent="0.2">
      <c r="A87" s="4"/>
      <c r="B87" s="27" t="s">
        <v>258</v>
      </c>
      <c r="C87" s="27" t="s">
        <v>211</v>
      </c>
      <c r="D87" s="27" t="s">
        <v>48</v>
      </c>
      <c r="E87" s="32" t="s">
        <v>212</v>
      </c>
      <c r="F87" s="64">
        <f t="shared" si="1"/>
        <v>0</v>
      </c>
      <c r="G87" s="69"/>
      <c r="H87" s="69"/>
      <c r="I87" s="69"/>
      <c r="J87" s="69"/>
      <c r="K87" s="66">
        <f t="shared" si="2"/>
        <v>600000</v>
      </c>
      <c r="L87" s="68">
        <f t="shared" si="3"/>
        <v>600000</v>
      </c>
      <c r="M87" s="69"/>
      <c r="N87" s="69"/>
      <c r="O87" s="69"/>
      <c r="P87" s="69">
        <f>600000</f>
        <v>600000</v>
      </c>
      <c r="Q87" s="66">
        <f t="shared" si="4"/>
        <v>600000</v>
      </c>
    </row>
    <row r="88" spans="1:17" s="3" customFormat="1" ht="15.75" x14ac:dyDescent="0.25">
      <c r="A88" s="4"/>
      <c r="B88" s="27" t="s">
        <v>207</v>
      </c>
      <c r="C88" s="27" t="s">
        <v>208</v>
      </c>
      <c r="D88" s="27" t="s">
        <v>48</v>
      </c>
      <c r="E88" s="58" t="s">
        <v>209</v>
      </c>
      <c r="F88" s="64">
        <f t="shared" si="1"/>
        <v>25019</v>
      </c>
      <c r="G88" s="69">
        <f>26000-981</f>
        <v>25019</v>
      </c>
      <c r="H88" s="69"/>
      <c r="I88" s="69"/>
      <c r="J88" s="69"/>
      <c r="K88" s="66">
        <f t="shared" si="2"/>
        <v>0</v>
      </c>
      <c r="L88" s="68">
        <f t="shared" si="3"/>
        <v>0</v>
      </c>
      <c r="M88" s="69"/>
      <c r="N88" s="69"/>
      <c r="O88" s="69"/>
      <c r="P88" s="69"/>
      <c r="Q88" s="66">
        <f t="shared" si="4"/>
        <v>25019</v>
      </c>
    </row>
    <row r="89" spans="1:17" s="3" customFormat="1" ht="15" x14ac:dyDescent="0.2">
      <c r="A89" s="4"/>
      <c r="B89" s="36" t="s">
        <v>221</v>
      </c>
      <c r="C89" s="37">
        <v>7693</v>
      </c>
      <c r="D89" s="34" t="s">
        <v>48</v>
      </c>
      <c r="E89" s="32" t="s">
        <v>222</v>
      </c>
      <c r="F89" s="64">
        <f t="shared" si="1"/>
        <v>969752</v>
      </c>
      <c r="G89" s="69">
        <f>941968+40100-30000-102316+120000</f>
        <v>969752</v>
      </c>
      <c r="H89" s="69">
        <f>457914+96464</f>
        <v>554378</v>
      </c>
      <c r="I89" s="69">
        <f>98000-30000</f>
        <v>68000</v>
      </c>
      <c r="J89" s="69"/>
      <c r="K89" s="66">
        <f t="shared" si="2"/>
        <v>0</v>
      </c>
      <c r="L89" s="68">
        <f t="shared" si="3"/>
        <v>0</v>
      </c>
      <c r="M89" s="69"/>
      <c r="N89" s="69"/>
      <c r="O89" s="69"/>
      <c r="P89" s="69"/>
      <c r="Q89" s="66">
        <f t="shared" si="4"/>
        <v>969752</v>
      </c>
    </row>
    <row r="90" spans="1:17" s="3" customFormat="1" ht="30" x14ac:dyDescent="0.2">
      <c r="A90" s="4" t="s">
        <v>53</v>
      </c>
      <c r="B90" s="27" t="s">
        <v>91</v>
      </c>
      <c r="C90" s="27" t="s">
        <v>69</v>
      </c>
      <c r="D90" s="27" t="s">
        <v>70</v>
      </c>
      <c r="E90" s="32" t="s">
        <v>230</v>
      </c>
      <c r="F90" s="64">
        <f t="shared" si="1"/>
        <v>128500</v>
      </c>
      <c r="G90" s="69">
        <f>150000-31500+10000</f>
        <v>128500</v>
      </c>
      <c r="H90" s="69"/>
      <c r="I90" s="69"/>
      <c r="J90" s="69"/>
      <c r="K90" s="66">
        <f t="shared" si="2"/>
        <v>67500</v>
      </c>
      <c r="L90" s="68">
        <f t="shared" si="3"/>
        <v>67500</v>
      </c>
      <c r="M90" s="69"/>
      <c r="N90" s="69"/>
      <c r="O90" s="69"/>
      <c r="P90" s="69">
        <f>67500</f>
        <v>67500</v>
      </c>
      <c r="Q90" s="66">
        <f t="shared" si="4"/>
        <v>196000</v>
      </c>
    </row>
    <row r="91" spans="1:17" s="5" customFormat="1" ht="15" x14ac:dyDescent="0.2">
      <c r="A91" s="4" t="s">
        <v>19</v>
      </c>
      <c r="B91" s="27" t="s">
        <v>106</v>
      </c>
      <c r="C91" s="27" t="s">
        <v>111</v>
      </c>
      <c r="D91" s="27" t="s">
        <v>70</v>
      </c>
      <c r="E91" s="32" t="s">
        <v>250</v>
      </c>
      <c r="F91" s="64">
        <f t="shared" si="1"/>
        <v>648000</v>
      </c>
      <c r="G91" s="67">
        <f>685000-37000</f>
        <v>648000</v>
      </c>
      <c r="H91" s="67"/>
      <c r="I91" s="67"/>
      <c r="J91" s="67"/>
      <c r="K91" s="66">
        <f t="shared" si="2"/>
        <v>0</v>
      </c>
      <c r="L91" s="68">
        <f t="shared" si="3"/>
        <v>0</v>
      </c>
      <c r="M91" s="67"/>
      <c r="N91" s="67"/>
      <c r="O91" s="67"/>
      <c r="P91" s="67"/>
      <c r="Q91" s="66">
        <f t="shared" si="4"/>
        <v>648000</v>
      </c>
    </row>
    <row r="92" spans="1:17" s="5" customFormat="1" ht="15.75" x14ac:dyDescent="0.25">
      <c r="A92" s="4"/>
      <c r="B92" s="27" t="s">
        <v>253</v>
      </c>
      <c r="C92" s="27" t="s">
        <v>254</v>
      </c>
      <c r="D92" s="27" t="s">
        <v>245</v>
      </c>
      <c r="E92" s="80" t="s">
        <v>252</v>
      </c>
      <c r="F92" s="64">
        <f t="shared" si="1"/>
        <v>200000</v>
      </c>
      <c r="G92" s="67">
        <f>150000+50000</f>
        <v>200000</v>
      </c>
      <c r="H92" s="67"/>
      <c r="I92" s="67"/>
      <c r="J92" s="67"/>
      <c r="K92" s="66">
        <f t="shared" si="2"/>
        <v>0</v>
      </c>
      <c r="L92" s="68">
        <f t="shared" si="3"/>
        <v>0</v>
      </c>
      <c r="M92" s="67"/>
      <c r="N92" s="67"/>
      <c r="O92" s="67"/>
      <c r="P92" s="67"/>
      <c r="Q92" s="66">
        <f t="shared" si="4"/>
        <v>200000</v>
      </c>
    </row>
    <row r="93" spans="1:17" s="5" customFormat="1" ht="15.75" x14ac:dyDescent="0.25">
      <c r="A93" s="4"/>
      <c r="B93" s="27" t="s">
        <v>255</v>
      </c>
      <c r="C93" s="27" t="s">
        <v>256</v>
      </c>
      <c r="D93" s="27" t="s">
        <v>245</v>
      </c>
      <c r="E93" s="80" t="s">
        <v>257</v>
      </c>
      <c r="F93" s="64">
        <f t="shared" si="1"/>
        <v>75000</v>
      </c>
      <c r="G93" s="67">
        <f>75000</f>
        <v>75000</v>
      </c>
      <c r="H93" s="67"/>
      <c r="I93" s="67"/>
      <c r="J93" s="67"/>
      <c r="K93" s="66">
        <f t="shared" si="2"/>
        <v>0</v>
      </c>
      <c r="L93" s="68">
        <f t="shared" si="3"/>
        <v>0</v>
      </c>
      <c r="M93" s="67"/>
      <c r="N93" s="67"/>
      <c r="O93" s="67"/>
      <c r="P93" s="67"/>
      <c r="Q93" s="66">
        <f t="shared" si="4"/>
        <v>75000</v>
      </c>
    </row>
    <row r="94" spans="1:17" s="5" customFormat="1" ht="15.75" x14ac:dyDescent="0.25">
      <c r="A94" s="4"/>
      <c r="B94" s="27" t="s">
        <v>243</v>
      </c>
      <c r="C94" s="27" t="s">
        <v>244</v>
      </c>
      <c r="D94" s="27" t="s">
        <v>245</v>
      </c>
      <c r="E94" s="58" t="s">
        <v>246</v>
      </c>
      <c r="F94" s="64">
        <f t="shared" si="1"/>
        <v>116000</v>
      </c>
      <c r="G94" s="67">
        <f>100000-100000+53000+63000</f>
        <v>116000</v>
      </c>
      <c r="H94" s="67"/>
      <c r="I94" s="67"/>
      <c r="J94" s="67"/>
      <c r="K94" s="66">
        <f t="shared" si="2"/>
        <v>239400</v>
      </c>
      <c r="L94" s="68">
        <f t="shared" si="3"/>
        <v>239400</v>
      </c>
      <c r="M94" s="67"/>
      <c r="N94" s="67"/>
      <c r="O94" s="67"/>
      <c r="P94" s="67">
        <f>300000+109400+130000-300000</f>
        <v>239400</v>
      </c>
      <c r="Q94" s="66">
        <f t="shared" si="4"/>
        <v>355400</v>
      </c>
    </row>
    <row r="95" spans="1:17" s="5" customFormat="1" ht="15" x14ac:dyDescent="0.2">
      <c r="A95" s="4" t="s">
        <v>22</v>
      </c>
      <c r="B95" s="27" t="s">
        <v>107</v>
      </c>
      <c r="C95" s="27" t="s">
        <v>112</v>
      </c>
      <c r="D95" s="27" t="s">
        <v>118</v>
      </c>
      <c r="E95" s="32" t="s">
        <v>231</v>
      </c>
      <c r="F95" s="64">
        <f t="shared" si="1"/>
        <v>0</v>
      </c>
      <c r="G95" s="67"/>
      <c r="H95" s="67"/>
      <c r="I95" s="67"/>
      <c r="J95" s="67"/>
      <c r="K95" s="66">
        <f t="shared" si="2"/>
        <v>80000</v>
      </c>
      <c r="L95" s="68">
        <f t="shared" si="3"/>
        <v>0</v>
      </c>
      <c r="M95" s="67">
        <v>80000</v>
      </c>
      <c r="N95" s="67"/>
      <c r="O95" s="67"/>
      <c r="P95" s="67"/>
      <c r="Q95" s="66">
        <f t="shared" si="4"/>
        <v>80000</v>
      </c>
    </row>
    <row r="96" spans="1:17" s="3" customFormat="1" ht="15" x14ac:dyDescent="0.2">
      <c r="A96" s="4" t="s">
        <v>25</v>
      </c>
      <c r="B96" s="27" t="s">
        <v>108</v>
      </c>
      <c r="C96" s="27" t="s">
        <v>113</v>
      </c>
      <c r="D96" s="27" t="s">
        <v>119</v>
      </c>
      <c r="E96" s="32" t="s">
        <v>232</v>
      </c>
      <c r="F96" s="64">
        <f t="shared" si="1"/>
        <v>0</v>
      </c>
      <c r="G96" s="69"/>
      <c r="H96" s="69"/>
      <c r="I96" s="67"/>
      <c r="J96" s="67"/>
      <c r="K96" s="66">
        <f t="shared" si="2"/>
        <v>110000</v>
      </c>
      <c r="L96" s="68">
        <f t="shared" si="3"/>
        <v>0</v>
      </c>
      <c r="M96" s="69">
        <v>110000</v>
      </c>
      <c r="N96" s="69"/>
      <c r="O96" s="69"/>
      <c r="P96" s="69"/>
      <c r="Q96" s="66">
        <f t="shared" si="4"/>
        <v>110000</v>
      </c>
    </row>
    <row r="97" spans="1:17" s="23" customFormat="1" ht="27" hidden="1" customHeight="1" x14ac:dyDescent="0.2">
      <c r="A97" s="22" t="s">
        <v>47</v>
      </c>
      <c r="B97" s="36" t="s">
        <v>73</v>
      </c>
      <c r="C97" s="37">
        <v>7363</v>
      </c>
      <c r="D97" s="34" t="s">
        <v>48</v>
      </c>
      <c r="E97" s="38" t="s">
        <v>74</v>
      </c>
      <c r="F97" s="64">
        <f t="shared" si="1"/>
        <v>0</v>
      </c>
      <c r="G97" s="70"/>
      <c r="H97" s="70"/>
      <c r="I97" s="70"/>
      <c r="J97" s="72"/>
      <c r="K97" s="66">
        <f t="shared" si="2"/>
        <v>0</v>
      </c>
      <c r="L97" s="68">
        <f t="shared" si="3"/>
        <v>0</v>
      </c>
      <c r="M97" s="72"/>
      <c r="N97" s="72"/>
      <c r="O97" s="72"/>
      <c r="P97" s="73"/>
      <c r="Q97" s="66">
        <f t="shared" si="4"/>
        <v>0</v>
      </c>
    </row>
    <row r="98" spans="1:17" s="23" customFormat="1" ht="45.75" hidden="1" customHeight="1" x14ac:dyDescent="0.2">
      <c r="A98" s="22"/>
      <c r="B98" s="36"/>
      <c r="C98" s="37"/>
      <c r="D98" s="34"/>
      <c r="E98" s="32"/>
      <c r="F98" s="64">
        <f t="shared" si="1"/>
        <v>0</v>
      </c>
      <c r="G98" s="70"/>
      <c r="H98" s="70"/>
      <c r="I98" s="70"/>
      <c r="J98" s="72"/>
      <c r="K98" s="66">
        <f t="shared" si="2"/>
        <v>0</v>
      </c>
      <c r="L98" s="68">
        <f t="shared" si="3"/>
        <v>0</v>
      </c>
      <c r="M98" s="72"/>
      <c r="N98" s="72"/>
      <c r="O98" s="72"/>
      <c r="P98" s="74"/>
      <c r="Q98" s="66">
        <f t="shared" si="4"/>
        <v>0</v>
      </c>
    </row>
    <row r="99" spans="1:17" s="23" customFormat="1" ht="45.75" hidden="1" customHeight="1" x14ac:dyDescent="0.2">
      <c r="A99" s="22"/>
      <c r="B99" s="36"/>
      <c r="C99" s="37"/>
      <c r="D99" s="34"/>
      <c r="E99" s="32"/>
      <c r="F99" s="64">
        <f t="shared" si="1"/>
        <v>0</v>
      </c>
      <c r="G99" s="70"/>
      <c r="H99" s="70"/>
      <c r="I99" s="70"/>
      <c r="J99" s="72"/>
      <c r="K99" s="66">
        <f t="shared" si="2"/>
        <v>0</v>
      </c>
      <c r="L99" s="68">
        <f t="shared" si="3"/>
        <v>0</v>
      </c>
      <c r="M99" s="72"/>
      <c r="N99" s="72"/>
      <c r="O99" s="72"/>
      <c r="P99" s="74"/>
      <c r="Q99" s="66">
        <f t="shared" si="4"/>
        <v>0</v>
      </c>
    </row>
    <row r="100" spans="1:17" s="23" customFormat="1" ht="28.5" hidden="1" customHeight="1" x14ac:dyDescent="0.2">
      <c r="A100" s="22"/>
      <c r="B100" s="36" t="s">
        <v>196</v>
      </c>
      <c r="C100" s="37">
        <v>9770</v>
      </c>
      <c r="D100" s="34" t="s">
        <v>54</v>
      </c>
      <c r="E100" s="32" t="s">
        <v>197</v>
      </c>
      <c r="F100" s="64">
        <f t="shared" si="1"/>
        <v>0</v>
      </c>
      <c r="G100" s="70"/>
      <c r="H100" s="70"/>
      <c r="I100" s="70"/>
      <c r="J100" s="72"/>
      <c r="K100" s="66">
        <f t="shared" si="2"/>
        <v>0</v>
      </c>
      <c r="L100" s="68">
        <f t="shared" si="3"/>
        <v>0</v>
      </c>
      <c r="M100" s="72"/>
      <c r="N100" s="72"/>
      <c r="O100" s="72"/>
      <c r="P100" s="68"/>
      <c r="Q100" s="66">
        <f t="shared" si="4"/>
        <v>0</v>
      </c>
    </row>
    <row r="101" spans="1:17" s="23" customFormat="1" ht="28.5" hidden="1" customHeight="1" x14ac:dyDescent="0.2">
      <c r="A101" s="22"/>
      <c r="B101" s="36"/>
      <c r="C101" s="37"/>
      <c r="D101" s="34"/>
      <c r="E101" s="32"/>
      <c r="F101" s="64"/>
      <c r="G101" s="70"/>
      <c r="H101" s="70"/>
      <c r="I101" s="70"/>
      <c r="J101" s="72"/>
      <c r="K101" s="66"/>
      <c r="L101" s="68"/>
      <c r="M101" s="72"/>
      <c r="N101" s="72"/>
      <c r="O101" s="72"/>
      <c r="P101" s="68"/>
      <c r="Q101" s="66"/>
    </row>
    <row r="102" spans="1:17" s="23" customFormat="1" ht="30" x14ac:dyDescent="0.2">
      <c r="A102" s="22"/>
      <c r="B102" s="36" t="s">
        <v>166</v>
      </c>
      <c r="C102" s="37">
        <v>9800</v>
      </c>
      <c r="D102" s="34" t="s">
        <v>54</v>
      </c>
      <c r="E102" s="32" t="s">
        <v>167</v>
      </c>
      <c r="F102" s="64">
        <f t="shared" si="1"/>
        <v>276000</v>
      </c>
      <c r="G102" s="70">
        <f>15000+30000+20000+40000+30000+60000+70000+11000</f>
        <v>276000</v>
      </c>
      <c r="H102" s="70"/>
      <c r="I102" s="70"/>
      <c r="J102" s="72"/>
      <c r="K102" s="66">
        <f t="shared" si="2"/>
        <v>0</v>
      </c>
      <c r="L102" s="68">
        <f t="shared" si="3"/>
        <v>0</v>
      </c>
      <c r="M102" s="72"/>
      <c r="N102" s="72"/>
      <c r="O102" s="72"/>
      <c r="P102" s="73"/>
      <c r="Q102" s="66">
        <f t="shared" si="4"/>
        <v>276000</v>
      </c>
    </row>
    <row r="103" spans="1:17" s="5" customFormat="1" ht="32.25" customHeight="1" x14ac:dyDescent="0.2">
      <c r="A103" s="21" t="s">
        <v>52</v>
      </c>
      <c r="B103" s="39" t="s">
        <v>58</v>
      </c>
      <c r="C103" s="40"/>
      <c r="D103" s="27"/>
      <c r="E103" s="31" t="s">
        <v>149</v>
      </c>
      <c r="F103" s="64">
        <f>F104</f>
        <v>1724129</v>
      </c>
      <c r="G103" s="65">
        <f t="shared" ref="G103:P103" si="6">G104</f>
        <v>1724129</v>
      </c>
      <c r="H103" s="65">
        <f t="shared" si="6"/>
        <v>1289180</v>
      </c>
      <c r="I103" s="65">
        <f t="shared" si="6"/>
        <v>133142</v>
      </c>
      <c r="J103" s="65">
        <f t="shared" si="6"/>
        <v>0</v>
      </c>
      <c r="K103" s="66">
        <f t="shared" si="6"/>
        <v>2199600</v>
      </c>
      <c r="L103" s="65">
        <f t="shared" si="6"/>
        <v>2199600</v>
      </c>
      <c r="M103" s="65">
        <f t="shared" si="6"/>
        <v>0</v>
      </c>
      <c r="N103" s="65">
        <f t="shared" si="6"/>
        <v>0</v>
      </c>
      <c r="O103" s="65">
        <f t="shared" si="6"/>
        <v>0</v>
      </c>
      <c r="P103" s="65">
        <f t="shared" si="6"/>
        <v>2199600</v>
      </c>
      <c r="Q103" s="66">
        <f t="shared" si="4"/>
        <v>3923729</v>
      </c>
    </row>
    <row r="104" spans="1:17" s="5" customFormat="1" ht="38.25" customHeight="1" x14ac:dyDescent="0.2">
      <c r="A104" s="21" t="s">
        <v>49</v>
      </c>
      <c r="B104" s="39" t="s">
        <v>63</v>
      </c>
      <c r="C104" s="40"/>
      <c r="D104" s="27"/>
      <c r="E104" s="31" t="s">
        <v>150</v>
      </c>
      <c r="F104" s="64">
        <f t="shared" ref="F104:Q104" si="7">F105+F108+F109+F110</f>
        <v>1724129</v>
      </c>
      <c r="G104" s="65">
        <f t="shared" si="7"/>
        <v>1724129</v>
      </c>
      <c r="H104" s="65">
        <f t="shared" si="7"/>
        <v>1289180</v>
      </c>
      <c r="I104" s="65">
        <f t="shared" si="7"/>
        <v>133142</v>
      </c>
      <c r="J104" s="65">
        <f t="shared" si="7"/>
        <v>0</v>
      </c>
      <c r="K104" s="66">
        <f t="shared" si="7"/>
        <v>2199600</v>
      </c>
      <c r="L104" s="65">
        <f t="shared" si="7"/>
        <v>2199600</v>
      </c>
      <c r="M104" s="65">
        <f t="shared" si="7"/>
        <v>0</v>
      </c>
      <c r="N104" s="65">
        <f t="shared" si="7"/>
        <v>0</v>
      </c>
      <c r="O104" s="65">
        <f t="shared" si="7"/>
        <v>0</v>
      </c>
      <c r="P104" s="65">
        <f t="shared" si="7"/>
        <v>2199600</v>
      </c>
      <c r="Q104" s="64">
        <f t="shared" si="7"/>
        <v>3923729</v>
      </c>
    </row>
    <row r="105" spans="1:17" s="3" customFormat="1" ht="30" x14ac:dyDescent="0.2">
      <c r="A105" s="20"/>
      <c r="B105" s="29" t="s">
        <v>120</v>
      </c>
      <c r="C105" s="29" t="s">
        <v>87</v>
      </c>
      <c r="D105" s="27" t="s">
        <v>16</v>
      </c>
      <c r="E105" s="48" t="s">
        <v>122</v>
      </c>
      <c r="F105" s="64">
        <f>G105+J105</f>
        <v>1713129</v>
      </c>
      <c r="G105" s="67">
        <f>1776129-63000</f>
        <v>1713129</v>
      </c>
      <c r="H105" s="67">
        <v>1289180</v>
      </c>
      <c r="I105" s="67">
        <v>133142</v>
      </c>
      <c r="J105" s="67"/>
      <c r="K105" s="66">
        <f>M105+P105</f>
        <v>0</v>
      </c>
      <c r="L105" s="68">
        <f>P105</f>
        <v>0</v>
      </c>
      <c r="M105" s="67"/>
      <c r="N105" s="67"/>
      <c r="O105" s="67"/>
      <c r="P105" s="67"/>
      <c r="Q105" s="66">
        <f>F105+K105</f>
        <v>1713129</v>
      </c>
    </row>
    <row r="106" spans="1:17" s="5" customFormat="1" ht="15" hidden="1" x14ac:dyDescent="0.2">
      <c r="A106" s="21"/>
      <c r="B106" s="29"/>
      <c r="C106" s="35"/>
      <c r="D106" s="27"/>
      <c r="E106" s="32"/>
      <c r="F106" s="64"/>
      <c r="G106" s="65"/>
      <c r="H106" s="65"/>
      <c r="I106" s="65"/>
      <c r="J106" s="65"/>
      <c r="K106" s="66"/>
      <c r="L106" s="68"/>
      <c r="M106" s="65"/>
      <c r="N106" s="65"/>
      <c r="O106" s="65"/>
      <c r="P106" s="75"/>
      <c r="Q106" s="66"/>
    </row>
    <row r="107" spans="1:17" s="5" customFormat="1" ht="9.75" hidden="1" customHeight="1" x14ac:dyDescent="0.2">
      <c r="A107" s="21"/>
      <c r="B107" s="39"/>
      <c r="C107" s="40"/>
      <c r="D107" s="27"/>
      <c r="E107" s="31"/>
      <c r="F107" s="64">
        <f>G107+J107</f>
        <v>0</v>
      </c>
      <c r="G107" s="65"/>
      <c r="H107" s="65"/>
      <c r="I107" s="65"/>
      <c r="J107" s="65"/>
      <c r="K107" s="66">
        <f>M107+P107</f>
        <v>0</v>
      </c>
      <c r="L107" s="68">
        <f>P107</f>
        <v>0</v>
      </c>
      <c r="M107" s="65"/>
      <c r="N107" s="65"/>
      <c r="O107" s="65"/>
      <c r="P107" s="65"/>
      <c r="Q107" s="66">
        <f>F107+K107</f>
        <v>0</v>
      </c>
    </row>
    <row r="108" spans="1:17" s="5" customFormat="1" ht="27" customHeight="1" x14ac:dyDescent="0.2">
      <c r="A108" s="21"/>
      <c r="B108" s="29" t="s">
        <v>140</v>
      </c>
      <c r="C108" s="35">
        <v>8710</v>
      </c>
      <c r="D108" s="27" t="s">
        <v>18</v>
      </c>
      <c r="E108" s="48" t="s">
        <v>141</v>
      </c>
      <c r="F108" s="64">
        <f>G108+J108</f>
        <v>11000</v>
      </c>
      <c r="G108" s="67">
        <f>300000+700000-500000-489000</f>
        <v>11000</v>
      </c>
      <c r="H108" s="65"/>
      <c r="I108" s="65"/>
      <c r="J108" s="65"/>
      <c r="K108" s="66">
        <f>M108+P108</f>
        <v>0</v>
      </c>
      <c r="L108" s="68">
        <f>P108</f>
        <v>0</v>
      </c>
      <c r="M108" s="65"/>
      <c r="N108" s="65"/>
      <c r="O108" s="65"/>
      <c r="P108" s="65"/>
      <c r="Q108" s="66">
        <f>F108+K108</f>
        <v>11000</v>
      </c>
    </row>
    <row r="109" spans="1:17" s="5" customFormat="1" ht="27" hidden="1" customHeight="1" x14ac:dyDescent="0.2">
      <c r="A109" s="21"/>
      <c r="B109" s="29" t="s">
        <v>206</v>
      </c>
      <c r="C109" s="35">
        <v>9770</v>
      </c>
      <c r="D109" s="27" t="s">
        <v>54</v>
      </c>
      <c r="E109" s="32" t="s">
        <v>197</v>
      </c>
      <c r="F109" s="64">
        <f>G109+J109</f>
        <v>0</v>
      </c>
      <c r="G109" s="67"/>
      <c r="H109" s="65"/>
      <c r="I109" s="65"/>
      <c r="J109" s="65"/>
      <c r="K109" s="66">
        <f>M109+P109</f>
        <v>0</v>
      </c>
      <c r="L109" s="68">
        <f>P109</f>
        <v>0</v>
      </c>
      <c r="M109" s="65"/>
      <c r="N109" s="65"/>
      <c r="O109" s="65"/>
      <c r="P109" s="67"/>
      <c r="Q109" s="66">
        <f>F109+K109</f>
        <v>0</v>
      </c>
    </row>
    <row r="110" spans="1:17" s="5" customFormat="1" ht="27" customHeight="1" x14ac:dyDescent="0.2">
      <c r="A110" s="21"/>
      <c r="B110" s="29" t="s">
        <v>206</v>
      </c>
      <c r="C110" s="35">
        <v>9770</v>
      </c>
      <c r="D110" s="27" t="s">
        <v>54</v>
      </c>
      <c r="E110" s="32" t="s">
        <v>197</v>
      </c>
      <c r="F110" s="64">
        <f>G110+J110</f>
        <v>0</v>
      </c>
      <c r="G110" s="67"/>
      <c r="H110" s="65"/>
      <c r="I110" s="65"/>
      <c r="J110" s="65"/>
      <c r="K110" s="66">
        <f>M110+P110</f>
        <v>2199600</v>
      </c>
      <c r="L110" s="68">
        <f>P110</f>
        <v>2199600</v>
      </c>
      <c r="M110" s="65"/>
      <c r="N110" s="65"/>
      <c r="O110" s="65"/>
      <c r="P110" s="68">
        <f>1240000+959600</f>
        <v>2199600</v>
      </c>
      <c r="Q110" s="66">
        <f>F110+K110</f>
        <v>2199600</v>
      </c>
    </row>
    <row r="111" spans="1:17" s="3" customFormat="1" ht="25.15" customHeight="1" x14ac:dyDescent="0.2">
      <c r="A111" s="2"/>
      <c r="B111" s="41" t="s">
        <v>79</v>
      </c>
      <c r="C111" s="41" t="s">
        <v>79</v>
      </c>
      <c r="D111" s="41" t="s">
        <v>79</v>
      </c>
      <c r="E111" s="42" t="s">
        <v>80</v>
      </c>
      <c r="F111" s="64">
        <f t="shared" ref="F111:Q111" si="8">F14+F103</f>
        <v>246152318.92000002</v>
      </c>
      <c r="G111" s="64">
        <f t="shared" si="8"/>
        <v>246152318.92000002</v>
      </c>
      <c r="H111" s="64">
        <f t="shared" si="8"/>
        <v>150127809.50999999</v>
      </c>
      <c r="I111" s="64">
        <f t="shared" si="8"/>
        <v>27814824.420000002</v>
      </c>
      <c r="J111" s="64">
        <f t="shared" si="8"/>
        <v>0</v>
      </c>
      <c r="K111" s="64">
        <f t="shared" si="8"/>
        <v>39379711.170000002</v>
      </c>
      <c r="L111" s="64">
        <f t="shared" si="8"/>
        <v>29393094.170000002</v>
      </c>
      <c r="M111" s="64">
        <f t="shared" si="8"/>
        <v>9986617</v>
      </c>
      <c r="N111" s="64">
        <f t="shared" si="8"/>
        <v>420000</v>
      </c>
      <c r="O111" s="64">
        <f t="shared" si="8"/>
        <v>0</v>
      </c>
      <c r="P111" s="64">
        <f t="shared" si="8"/>
        <v>29393094.170000002</v>
      </c>
      <c r="Q111" s="64">
        <f t="shared" si="8"/>
        <v>285532030.09000003</v>
      </c>
    </row>
    <row r="112" spans="1:17" s="3" customFormat="1" ht="25.15" customHeight="1" x14ac:dyDescent="0.2">
      <c r="A112" s="59"/>
      <c r="B112" s="60"/>
      <c r="C112" s="60"/>
      <c r="D112" s="60"/>
      <c r="E112" s="61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ht="15" x14ac:dyDescent="0.2">
      <c r="A113" s="15"/>
      <c r="B113" s="15"/>
      <c r="C113" s="3"/>
      <c r="D113" s="3"/>
      <c r="E113" s="76" t="s">
        <v>251</v>
      </c>
      <c r="F113" s="77"/>
      <c r="G113" s="11"/>
      <c r="H113" s="11"/>
      <c r="I113" s="11"/>
      <c r="J113" s="7"/>
      <c r="K113" s="11"/>
      <c r="L113" s="11"/>
      <c r="M113" s="11"/>
      <c r="N113" s="11"/>
      <c r="O113" s="11"/>
      <c r="P113" s="11"/>
      <c r="Q113" s="7"/>
    </row>
    <row r="114" spans="1:17" ht="15" x14ac:dyDescent="0.2">
      <c r="A114" s="16"/>
      <c r="B114" s="19"/>
      <c r="E114" s="78"/>
      <c r="F114" s="79"/>
      <c r="G114" s="9"/>
      <c r="H114" s="9"/>
      <c r="I114" s="9"/>
      <c r="J114" s="6"/>
      <c r="K114" s="11"/>
      <c r="L114" s="11"/>
      <c r="M114" s="9"/>
      <c r="N114" s="9"/>
      <c r="O114" s="9"/>
      <c r="P114" s="9"/>
      <c r="Q114" s="7"/>
    </row>
    <row r="115" spans="1:17" ht="15" x14ac:dyDescent="0.2">
      <c r="E115" s="78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</row>
    <row r="116" spans="1:17" x14ac:dyDescent="0.2">
      <c r="F116" s="17"/>
      <c r="G116" s="17"/>
      <c r="H116" s="17"/>
      <c r="I116" s="17"/>
      <c r="J116" s="50"/>
      <c r="K116" s="51"/>
      <c r="L116" s="51"/>
      <c r="M116" s="17"/>
      <c r="N116" s="17"/>
      <c r="O116" s="17"/>
      <c r="P116" s="17"/>
      <c r="Q116" s="52"/>
    </row>
    <row r="117" spans="1:17" x14ac:dyDescent="0.2">
      <c r="F117" s="17"/>
      <c r="G117" s="17"/>
      <c r="H117" s="17"/>
      <c r="I117" s="17"/>
      <c r="J117" s="50"/>
      <c r="K117" s="51"/>
      <c r="L117" s="51"/>
      <c r="M117" s="17"/>
      <c r="N117" s="17"/>
      <c r="O117" s="17"/>
      <c r="P117" s="17"/>
      <c r="Q117" s="52"/>
    </row>
    <row r="118" spans="1:17" x14ac:dyDescent="0.2">
      <c r="F118" s="17"/>
      <c r="G118" s="17"/>
      <c r="H118" s="17"/>
      <c r="I118" s="17"/>
      <c r="J118" s="50"/>
      <c r="K118" s="51"/>
      <c r="L118" s="51"/>
      <c r="M118" s="17"/>
      <c r="N118" s="17"/>
      <c r="O118" s="17"/>
      <c r="P118" s="17"/>
      <c r="Q118" s="52"/>
    </row>
    <row r="119" spans="1:17" x14ac:dyDescent="0.2"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">
      <c r="G120" s="17"/>
    </row>
    <row r="124" spans="1:17" x14ac:dyDescent="0.2">
      <c r="G124" s="17"/>
    </row>
  </sheetData>
  <mergeCells count="32">
    <mergeCell ref="A6:Q6"/>
    <mergeCell ref="A9:A12"/>
    <mergeCell ref="P10:P12"/>
    <mergeCell ref="I11:I12"/>
    <mergeCell ref="L10:L12"/>
    <mergeCell ref="Q9:Q12"/>
    <mergeCell ref="N10:O10"/>
    <mergeCell ref="M10:M12"/>
    <mergeCell ref="B7:C7"/>
    <mergeCell ref="K9:P9"/>
    <mergeCell ref="O11:O12"/>
    <mergeCell ref="H10:I10"/>
    <mergeCell ref="E9:E11"/>
    <mergeCell ref="D9:D12"/>
    <mergeCell ref="C9:C12"/>
    <mergeCell ref="J10:J12"/>
    <mergeCell ref="B9:B12"/>
    <mergeCell ref="B8:C8"/>
    <mergeCell ref="G10:G12"/>
    <mergeCell ref="F9:I9"/>
    <mergeCell ref="H11:H12"/>
    <mergeCell ref="F10:F12"/>
    <mergeCell ref="O4:P4"/>
    <mergeCell ref="D56:D59"/>
    <mergeCell ref="B19:B20"/>
    <mergeCell ref="C19:C20"/>
    <mergeCell ref="D19:D20"/>
    <mergeCell ref="C56:C59"/>
    <mergeCell ref="N11:N12"/>
    <mergeCell ref="B56:B59"/>
    <mergeCell ref="K10:K12"/>
    <mergeCell ref="E56:E57"/>
  </mergeCells>
  <phoneticPr fontId="0" type="noConversion"/>
  <printOptions horizontalCentered="1"/>
  <pageMargins left="7.874015748031496E-2" right="0.11811023622047245" top="0.43307086614173229" bottom="0.27559055118110237" header="0.31496062992125984" footer="0.19685039370078741"/>
  <pageSetup paperSize="9" scale="49" fitToHeight="2" orientation="landscape" r:id="rId1"/>
  <headerFooter differentFirst="1" alignWithMargins="0">
    <oddHeader>&amp;R&amp;"Times New Roman,обычный"&amp;12Продовження додатку 3</oddHeader>
  </headerFooter>
  <rowBreaks count="1" manualBreakCount="1">
    <brk id="4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</vt:lpstr>
      <vt:lpstr>'дод 3'!Заголовки_для_печати</vt:lpstr>
      <vt:lpstr>'дод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Ричина Наталія Михайлівна</dc:creator>
  <cp:lastModifiedBy>Пользователь</cp:lastModifiedBy>
  <cp:lastPrinted>2022-11-01T16:13:34Z</cp:lastPrinted>
  <dcterms:created xsi:type="dcterms:W3CDTF">2010-12-22T14:43:06Z</dcterms:created>
  <dcterms:modified xsi:type="dcterms:W3CDTF">2022-12-27T11:21:29Z</dcterms:modified>
</cp:coreProperties>
</file>