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am\Desktop\"/>
    </mc:Choice>
  </mc:AlternateContent>
  <xr:revisionPtr revIDLastSave="0" documentId="13_ncr:1_{F279855B-3994-4711-BB2C-ACCBCC6D4153}" xr6:coauthVersionLast="47" xr6:coauthVersionMax="47" xr10:uidLastSave="{00000000-0000-0000-0000-000000000000}"/>
  <bookViews>
    <workbookView xWindow="-120" yWindow="-120" windowWidth="38640" windowHeight="15840" xr2:uid="{40E5A371-748E-450A-B5FB-5620DC1C95D1}"/>
  </bookViews>
  <sheets>
    <sheet name="HP Duct Thermal Bridge v2" sheetId="2" r:id="rId1"/>
  </sheets>
  <definedNames>
    <definedName name="IP_Flag" hidden="1">FALSE</definedName>
    <definedName name="Lueftung_Auslegungsvolumenstrom">'HP Duct Thermal Bridge v2'!$N$24</definedName>
    <definedName name="Lueftung_Nebenrechnung_Aussenluft_Daemmdicke">'HP Duct Thermal Bridge v2'!$L$31</definedName>
    <definedName name="Lueftung_Nebenrechnung_Aussenluft_Nennweite">'HP Duct Thermal Bridge v2'!$L$30</definedName>
    <definedName name="Lueftung_Nebenrechnung_Aussenluft_Verspiegelt">'HP Duct Thermal Bridge v2'!$L$33</definedName>
    <definedName name="Lueftung_Nebenrechnung_Aussenluft_Waermeleitfaehigkeit">'HP Duct Thermal Bridge v2'!$L$36</definedName>
    <definedName name="Lueftung_Nebenrechnung_Fortluft_Daemmdicke">'HP Duct Thermal Bridge v2'!$Q$31</definedName>
    <definedName name="Lueftung_Nebenrechnung_Fortluft_Nennweite">'HP Duct Thermal Bridge v2'!$Q$30</definedName>
    <definedName name="Lueftung_Nebenrechnung_Fortluft_Verspiegelt">'HP Duct Thermal Bridge v2'!$Q$33</definedName>
    <definedName name="Lueftung_Nebenrechnung_Fortluft_Waermeleitfaehigkeit">'HP Duct Thermal Bridge v2'!$Q$36</definedName>
    <definedName name="_xlnm.Print_Area" localSheetId="0">'HP Duct Thermal Bridge v2'!$H$2:$S$46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9" i="2" l="1"/>
  <c r="Q37" i="2"/>
  <c r="L37" i="2"/>
  <c r="Q54" i="2"/>
  <c r="Q53" i="2"/>
  <c r="Q52" i="2"/>
  <c r="Q55" i="2" s="1"/>
  <c r="L54" i="2"/>
  <c r="L53" i="2"/>
  <c r="L52" i="2"/>
  <c r="L55" i="2" s="1"/>
  <c r="L10" i="2"/>
  <c r="L14" i="2"/>
  <c r="L9" i="2"/>
  <c r="Q34" i="2"/>
  <c r="AD31" i="2" s="1"/>
  <c r="L34" i="2"/>
  <c r="Z31" i="2" s="1"/>
  <c r="Q40" i="2"/>
  <c r="Q41" i="2" s="1"/>
  <c r="AD28" i="2" s="1"/>
  <c r="L40" i="2"/>
  <c r="L41" i="2" s="1"/>
  <c r="Z28" i="2" s="1"/>
  <c r="AD50" i="2" l="1"/>
  <c r="AD51" i="2" s="1"/>
  <c r="AD52" i="2" s="1"/>
  <c r="Q42" i="2" s="1"/>
  <c r="AD32" i="2" s="1"/>
  <c r="Q56" i="2"/>
  <c r="Q58" i="2" s="1"/>
  <c r="Q60" i="2" s="1"/>
  <c r="L56" i="2"/>
  <c r="L58" i="2" s="1"/>
  <c r="L60" i="2" s="1"/>
  <c r="L16" i="2"/>
  <c r="L17" i="2" s="1"/>
  <c r="Z50" i="2" l="1"/>
  <c r="Z51" i="2" s="1"/>
  <c r="Z52" i="2" s="1"/>
  <c r="L42" i="2" s="1"/>
  <c r="Z32" i="2" s="1"/>
  <c r="AE26" i="2"/>
  <c r="AD33" i="2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Z33" i="2" l="1"/>
  <c r="Z34" i="2" s="1"/>
  <c r="Z35" i="2" s="1"/>
  <c r="Z36" i="2" s="1"/>
  <c r="Z37" i="2" s="1"/>
  <c r="Z38" i="2" s="1"/>
  <c r="Z39" i="2" s="1"/>
  <c r="Z40" i="2" s="1"/>
  <c r="Z41" i="2" s="1"/>
  <c r="Z42" i="2" s="1"/>
  <c r="Z43" i="2" s="1"/>
  <c r="Z44" i="2" s="1"/>
  <c r="Z45" i="2" s="1"/>
  <c r="AE27" i="2"/>
  <c r="AD44" i="2"/>
  <c r="AD45" i="2" l="1"/>
  <c r="L43" i="2"/>
  <c r="L44" i="2" s="1"/>
  <c r="L67" i="2" l="1"/>
  <c r="L45" i="2"/>
  <c r="Q43" i="2"/>
  <c r="Q44" i="2" s="1"/>
  <c r="Q67" i="2" l="1"/>
  <c r="Q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Sally Godber</author>
    <author>Passivhaus Institut</author>
  </authors>
  <commentList>
    <comment ref="L9" authorId="0" shapeId="0" xr:uid="{4CFFDCBC-3181-4193-B0D0-98F903E6BA33}">
      <text>
        <r>
          <rPr>
            <b/>
            <sz val="9"/>
            <color indexed="81"/>
            <rFont val="Tahoma"/>
            <family val="2"/>
          </rPr>
          <t>Sally Godber:</t>
        </r>
        <r>
          <rPr>
            <sz val="9"/>
            <color indexed="81"/>
            <rFont val="Tahoma"/>
            <family val="2"/>
          </rPr>
          <t xml:space="preserve">
from HP manuf tech data</t>
        </r>
      </text>
    </comment>
    <comment ref="L20" authorId="0" shapeId="0" xr:uid="{2A2645FC-E121-4572-A5D5-8E9CF90B9CEC}">
      <text>
        <r>
          <rPr>
            <b/>
            <sz val="9"/>
            <color indexed="81"/>
            <rFont val="Tahoma"/>
            <family val="2"/>
          </rPr>
          <t>Based on PHPP 9 duct losses calculation for ventilation systems</t>
        </r>
      </text>
    </comment>
    <comment ref="L39" authorId="0" shapeId="0" xr:uid="{1901B61B-DC04-4806-8CD3-96C46B3EB259}">
      <text>
        <r>
          <rPr>
            <b/>
            <sz val="9"/>
            <color indexed="81"/>
            <rFont val="Tahoma"/>
            <family val="2"/>
          </rPr>
          <t>Sally Godber:</t>
        </r>
        <r>
          <rPr>
            <sz val="9"/>
            <color indexed="81"/>
            <rFont val="Tahoma"/>
            <family val="2"/>
          </rPr>
          <t xml:space="preserve">
Based on standard winter internal temp of 20C and external temp of 8C. OK for midlands downwards, for more norther locations adjust from PHPP </t>
        </r>
      </text>
    </comment>
    <comment ref="H47" authorId="0" shapeId="0" xr:uid="{31031EAB-BF96-4A81-BE1E-9AC587B78B96}">
      <text>
        <r>
          <rPr>
            <b/>
            <sz val="9"/>
            <color indexed="81"/>
            <rFont val="Tahoma"/>
            <family val="2"/>
          </rPr>
          <t>Sally Godber:</t>
        </r>
        <r>
          <rPr>
            <sz val="9"/>
            <color indexed="81"/>
            <rFont val="Tahoma"/>
            <family val="2"/>
          </rPr>
          <t xml:space="preserve">
Uses the "Auxiliary calculation for interior drain pipes that are ventilated through the roof" from phpp9. not updated to phpp10 (in abayance) and hasn't been checked for applicability.</t>
        </r>
      </text>
    </comment>
    <comment ref="AE57" authorId="1" shapeId="0" xr:uid="{A008B734-A2EA-4C5F-A6B8-14A2F2D619C9}">
      <text>
        <r>
          <rPr>
            <sz val="10"/>
            <color indexed="8"/>
            <rFont val="Segoe UI"/>
            <family val="2"/>
          </rPr>
          <t xml:space="preserve">Wenn Frostschutzheizregister dann 0.97
Wenn EWT dann 0.8
</t>
        </r>
      </text>
    </comment>
    <comment ref="L59" authorId="0" shapeId="0" xr:uid="{4A5D98EF-922D-4B1D-87A1-882DAB7AECCD}">
      <text>
        <r>
          <rPr>
            <b/>
            <sz val="9"/>
            <color indexed="81"/>
            <rFont val="Tahoma"/>
            <family val="2"/>
          </rPr>
          <t>Sally Godber:</t>
        </r>
        <r>
          <rPr>
            <sz val="9"/>
            <color indexed="81"/>
            <rFont val="Tahoma"/>
            <family val="2"/>
          </rPr>
          <t xml:space="preserve">
random factor, used in PHPP as RWP/SVPs go to drains that are usually warmer than ambient. 
As BETA need to decide what is reasonable here.</t>
        </r>
      </text>
    </comment>
    <comment ref="Q59" authorId="0" shapeId="0" xr:uid="{FF23DA46-2582-4DF2-A5C9-F55F9521BF9A}">
      <text>
        <r>
          <rPr>
            <b/>
            <sz val="9"/>
            <color indexed="81"/>
            <rFont val="Tahoma"/>
            <family val="2"/>
          </rPr>
          <t>Sally Godber:</t>
        </r>
        <r>
          <rPr>
            <sz val="9"/>
            <color indexed="81"/>
            <rFont val="Tahoma"/>
            <family val="2"/>
          </rPr>
          <t xml:space="preserve">
random factor, used in PHPP as RWP/SVPs go to drains that are usually warmer than ambient. 
As BETA need to decide what is reasonable here.</t>
        </r>
      </text>
    </comment>
    <comment ref="K65" authorId="0" shapeId="0" xr:uid="{114E85C8-51B6-4492-AF6B-EBECB433F44F}">
      <text>
        <r>
          <rPr>
            <b/>
            <sz val="9"/>
            <color indexed="81"/>
            <rFont val="Tahoma"/>
            <family val="2"/>
          </rPr>
          <t>Enter as an ambient thermal bridge, with the corresponding lengths of supply &amp; extract ducts</t>
        </r>
      </text>
    </comment>
  </commentList>
</comments>
</file>

<file path=xl/sharedStrings.xml><?xml version="1.0" encoding="utf-8"?>
<sst xmlns="http://schemas.openxmlformats.org/spreadsheetml/2006/main" count="225" uniqueCount="95">
  <si>
    <t xml:space="preserve"> W/(mK)</t>
  </si>
  <si>
    <r>
      <t>Y-</t>
    </r>
    <r>
      <rPr>
        <sz val="10"/>
        <rFont val="Arial"/>
        <family val="2"/>
      </rPr>
      <t>value</t>
    </r>
  </si>
  <si>
    <t xml:space="preserve">Reduction factor </t>
  </si>
  <si>
    <t>W/(m²K)</t>
  </si>
  <si>
    <r>
      <t>a</t>
    </r>
    <r>
      <rPr>
        <sz val="10"/>
        <rFont val="Arial"/>
        <family val="2"/>
      </rPr>
      <t>-Surface</t>
    </r>
  </si>
  <si>
    <t>m</t>
  </si>
  <si>
    <t>Exterior pipe diameter:</t>
  </si>
  <si>
    <t>Interior pipe diameter:</t>
  </si>
  <si>
    <t>W/(mK)</t>
  </si>
  <si>
    <t>Thermal conductivity</t>
  </si>
  <si>
    <t>mm</t>
  </si>
  <si>
    <t>Insul. thickness:</t>
  </si>
  <si>
    <t>Nominal width:</t>
  </si>
  <si>
    <t>diversity factor =</t>
  </si>
  <si>
    <t xml:space="preserve">running hours = </t>
  </si>
  <si>
    <t>K</t>
  </si>
  <si>
    <t>dT</t>
  </si>
  <si>
    <t>water in</t>
  </si>
  <si>
    <t>water out</t>
  </si>
  <si>
    <t xml:space="preserve"> </t>
  </si>
  <si>
    <t>kWh/m3K</t>
  </si>
  <si>
    <t>kW</t>
  </si>
  <si>
    <t>HP Power Output</t>
  </si>
  <si>
    <t>performance ratio from PHPP</t>
  </si>
  <si>
    <t>Lueftung</t>
  </si>
  <si>
    <t>Speicher1</t>
  </si>
  <si>
    <t>Var1</t>
  </si>
  <si>
    <t>m³/h</t>
  </si>
  <si>
    <t>Occupancy</t>
  </si>
  <si>
    <t>h/d</t>
  </si>
  <si>
    <t>°C</t>
  </si>
  <si>
    <t>P Frostschutz [W]</t>
  </si>
  <si>
    <t>Secondary calculation</t>
  </si>
  <si>
    <t>Betriebsstunden [kh/a]</t>
  </si>
  <si>
    <t>Hilfsgröße R'</t>
  </si>
  <si>
    <t>Nebenrechnung (Iteration):</t>
  </si>
  <si>
    <t>Insulation thickness:</t>
  </si>
  <si>
    <t>a- Näherung</t>
  </si>
  <si>
    <t>k*-Näherung</t>
  </si>
  <si>
    <t>Reflective coating?</t>
  </si>
  <si>
    <t>Yes</t>
  </si>
  <si>
    <t>yes</t>
  </si>
  <si>
    <t>OberflächentemperaturDiff_Näh</t>
  </si>
  <si>
    <t>No</t>
  </si>
  <si>
    <t>no</t>
  </si>
  <si>
    <t>Nominal air flow rate</t>
  </si>
  <si>
    <t>DJ</t>
  </si>
  <si>
    <t>Exterior duct diameter</t>
  </si>
  <si>
    <t>Exterior diameter</t>
  </si>
  <si>
    <r>
      <t>a-</t>
    </r>
    <r>
      <rPr>
        <sz val="10"/>
        <rFont val="Arial"/>
        <family val="2"/>
      </rPr>
      <t>Interior</t>
    </r>
  </si>
  <si>
    <r>
      <t>a</t>
    </r>
    <r>
      <rPr>
        <sz val="10"/>
        <rFont val="Arial"/>
        <family val="2"/>
      </rPr>
      <t>-Surface</t>
    </r>
  </si>
  <si>
    <t xml:space="preserve">Surface temperature difference </t>
  </si>
  <si>
    <t>Nebenrechnung für Wärmeübergang innen</t>
  </si>
  <si>
    <t>w</t>
  </si>
  <si>
    <t>m/s</t>
  </si>
  <si>
    <t>Re</t>
  </si>
  <si>
    <t>-</t>
  </si>
  <si>
    <t>Nusselt</t>
  </si>
  <si>
    <t>Nebenrechnung Wärmebereitstellungsgrad</t>
  </si>
  <si>
    <t>Reduktionsfaktor Frostschutz</t>
  </si>
  <si>
    <t>Außenaufstellung</t>
  </si>
  <si>
    <t>Tau</t>
  </si>
  <si>
    <t>Tab</t>
  </si>
  <si>
    <t>Tzu</t>
  </si>
  <si>
    <t>Tzu'</t>
  </si>
  <si>
    <t>Innenaufstellung</t>
  </si>
  <si>
    <t>Tfo</t>
  </si>
  <si>
    <t>Tfo'</t>
  </si>
  <si>
    <t>Pel</t>
  </si>
  <si>
    <t>HW Heat Pump duct losses</t>
  </si>
  <si>
    <t/>
  </si>
  <si>
    <r>
      <rPr>
        <sz val="10"/>
        <rFont val="Calibri"/>
        <family val="2"/>
      </rPr>
      <t>°</t>
    </r>
    <r>
      <rPr>
        <sz val="10"/>
        <rFont val="Arial"/>
        <family val="2"/>
      </rPr>
      <t>C</t>
    </r>
  </si>
  <si>
    <t xml:space="preserve">Design air flow rate </t>
  </si>
  <si>
    <t>Number of people</t>
  </si>
  <si>
    <t>m3/d</t>
  </si>
  <si>
    <t>From cell V220 on DHW+Distribution</t>
  </si>
  <si>
    <t>Temperature reduction of exhaust air</t>
  </si>
  <si>
    <r>
      <t xml:space="preserve"> </t>
    </r>
    <r>
      <rPr>
        <sz val="10"/>
        <rFont val="Symbol"/>
        <family val="1"/>
        <charset val="2"/>
      </rPr>
      <t>Y</t>
    </r>
    <r>
      <rPr>
        <sz val="10"/>
        <rFont val="Arial"/>
        <family val="2"/>
      </rPr>
      <t>-value outdoor air duct</t>
    </r>
  </si>
  <si>
    <r>
      <rPr>
        <sz val="10"/>
        <rFont val="Symbol"/>
        <family val="1"/>
        <charset val="2"/>
      </rPr>
      <t xml:space="preserve"> Y</t>
    </r>
    <r>
      <rPr>
        <sz val="10"/>
        <rFont val="Arial"/>
        <family val="2"/>
      </rPr>
      <t>-value exhaust air duct</t>
    </r>
  </si>
  <si>
    <t>DHW consumption</t>
  </si>
  <si>
    <t>l/person.day</t>
  </si>
  <si>
    <t>Standard PHPP value</t>
  </si>
  <si>
    <t>People/heat pump</t>
  </si>
  <si>
    <r>
      <rPr>
        <b/>
        <sz val="10"/>
        <rFont val="Calibri"/>
        <family val="2"/>
        <scheme val="minor"/>
      </rPr>
      <t>HP ON</t>
    </r>
    <r>
      <rPr>
        <b/>
        <sz val="10"/>
        <rFont val="Symbol"/>
        <family val="1"/>
        <charset val="2"/>
      </rPr>
      <t xml:space="preserve"> Y-</t>
    </r>
    <r>
      <rPr>
        <sz val="10"/>
        <rFont val="Arial"/>
        <family val="2"/>
      </rPr>
      <t>value</t>
    </r>
  </si>
  <si>
    <r>
      <rPr>
        <b/>
        <sz val="10"/>
        <rFont val="Calibri"/>
        <family val="2"/>
        <scheme val="minor"/>
      </rPr>
      <t>HP OFF</t>
    </r>
    <r>
      <rPr>
        <b/>
        <sz val="10"/>
        <rFont val="Symbol"/>
        <family val="1"/>
        <charset val="2"/>
      </rPr>
      <t xml:space="preserve"> Y-</t>
    </r>
    <r>
      <rPr>
        <sz val="10"/>
        <rFont val="Arial"/>
        <family val="2"/>
      </rPr>
      <t>value</t>
    </r>
  </si>
  <si>
    <t>From tech data</t>
  </si>
  <si>
    <t>Heat pump ON duct loss characteristics</t>
  </si>
  <si>
    <t>Hours running calculation</t>
  </si>
  <si>
    <t>Summary values for PHPP</t>
  </si>
  <si>
    <r>
      <rPr>
        <b/>
        <sz val="12"/>
        <rFont val="Calibri"/>
        <family val="2"/>
        <scheme val="minor"/>
      </rPr>
      <t>SUPPLY HP AVERAGE</t>
    </r>
    <r>
      <rPr>
        <b/>
        <sz val="12"/>
        <rFont val="Symbol"/>
        <family val="1"/>
        <charset val="2"/>
      </rPr>
      <t xml:space="preserve"> Y-</t>
    </r>
    <r>
      <rPr>
        <sz val="12"/>
        <rFont val="Arial"/>
        <family val="2"/>
      </rPr>
      <t>value</t>
    </r>
  </si>
  <si>
    <r>
      <rPr>
        <b/>
        <sz val="12"/>
        <rFont val="Calibri"/>
        <family val="2"/>
        <scheme val="minor"/>
      </rPr>
      <t>EXTRACT HP AVERAGE</t>
    </r>
    <r>
      <rPr>
        <b/>
        <sz val="12"/>
        <rFont val="Symbol"/>
        <family val="1"/>
        <charset val="2"/>
      </rPr>
      <t xml:space="preserve"> Y-</t>
    </r>
    <r>
      <rPr>
        <sz val="12"/>
        <rFont val="Arial"/>
        <family val="2"/>
      </rPr>
      <t>value</t>
    </r>
  </si>
  <si>
    <t>DRAFT: WARM 2021</t>
  </si>
  <si>
    <t>Standby duct characteristics</t>
  </si>
  <si>
    <t>c water</t>
  </si>
  <si>
    <t>From HP technical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</si>
</sst>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7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Symbol"/>
      <family val="1"/>
      <charset val="2"/>
    </font>
    <font>
      <sz val="10"/>
      <name val="Symbol"/>
      <family val="1"/>
      <charset val="2"/>
    </font>
    <font>
      <sz val="10"/>
      <name val="MS Sans Serif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10"/>
      <color indexed="8"/>
      <name val="Segoe UI"/>
      <family val="2"/>
    </font>
    <font>
      <b/>
      <sz val="10"/>
      <color rgb="FFFF0000"/>
      <name val="Arial"/>
      <family val="2"/>
    </font>
    <font>
      <sz val="9"/>
      <color indexed="8"/>
      <name val="Arial"/>
      <family val="2"/>
    </font>
    <font>
      <sz val="24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u/>
      <sz val="9"/>
      <color indexed="12"/>
      <name val="Arial"/>
      <family val="2"/>
    </font>
    <font>
      <sz val="10"/>
      <name val="Helv"/>
    </font>
    <font>
      <b/>
      <sz val="12"/>
      <color indexed="61"/>
      <name val="Arial"/>
      <family val="2"/>
    </font>
    <font>
      <b/>
      <sz val="10"/>
      <color indexed="61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i/>
      <sz val="10.5"/>
      <name val="Arial"/>
      <family val="2"/>
    </font>
    <font>
      <sz val="10"/>
      <name val="Arial"/>
      <family val="1"/>
      <charset val="2"/>
    </font>
    <font>
      <b/>
      <sz val="10"/>
      <name val="Calibri"/>
      <family val="2"/>
      <scheme val="minor"/>
    </font>
    <font>
      <b/>
      <sz val="10"/>
      <name val="Symbol"/>
      <family val="2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b/>
      <sz val="12"/>
      <name val="Symbol"/>
      <family val="1"/>
      <charset val="2"/>
    </font>
    <font>
      <b/>
      <sz val="12"/>
      <name val="Symbol"/>
      <family val="2"/>
      <charset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hair">
        <color indexed="12"/>
      </bottom>
      <diagonal/>
    </border>
    <border>
      <left style="hair">
        <color indexed="64"/>
      </left>
      <right style="hair">
        <color indexed="12"/>
      </right>
      <top style="hair">
        <color indexed="12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0" fontId="3" fillId="0" borderId="0"/>
    <xf numFmtId="0" fontId="6" fillId="0" borderId="0"/>
    <xf numFmtId="0" fontId="6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6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2" borderId="1" xfId="0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2" fontId="1" fillId="0" borderId="0" xfId="1" applyNumberFormat="1" applyFont="1" applyAlignment="1">
      <alignment vertical="center"/>
    </xf>
    <xf numFmtId="0" fontId="1" fillId="0" borderId="5" xfId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5" fillId="0" borderId="5" xfId="1" applyFont="1" applyBorder="1" applyAlignment="1">
      <alignment vertical="center"/>
    </xf>
    <xf numFmtId="0" fontId="1" fillId="0" borderId="0" xfId="1" applyFont="1" applyAlignment="1">
      <alignment horizontal="right" vertical="center"/>
    </xf>
    <xf numFmtId="164" fontId="7" fillId="3" borderId="6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1" fontId="7" fillId="3" borderId="6" xfId="2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0" xfId="0" applyFont="1" applyFill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1" fillId="5" borderId="0" xfId="3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11" xfId="0" applyFont="1" applyBorder="1" applyAlignment="1">
      <alignment horizontal="left" vertical="center"/>
    </xf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3" fillId="0" borderId="0" xfId="0" applyFont="1"/>
    <xf numFmtId="0" fontId="15" fillId="0" borderId="12" xfId="0" applyFont="1" applyBorder="1"/>
    <xf numFmtId="0" fontId="1" fillId="0" borderId="12" xfId="0" applyFont="1" applyBorder="1" applyAlignment="1">
      <alignment horizontal="right" vertical="top"/>
    </xf>
    <xf numFmtId="0" fontId="1" fillId="0" borderId="11" xfId="0" applyFont="1" applyBorder="1"/>
    <xf numFmtId="0" fontId="1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5" fontId="18" fillId="0" borderId="0" xfId="5" applyNumberFormat="1" applyFont="1" applyAlignment="1">
      <alignment horizontal="left" vertical="center"/>
    </xf>
    <xf numFmtId="0" fontId="1" fillId="0" borderId="0" xfId="5" applyFont="1"/>
    <xf numFmtId="0" fontId="1" fillId="0" borderId="0" xfId="0" applyFont="1" applyAlignment="1">
      <alignment horizontal="centerContinuous" vertical="center"/>
    </xf>
    <xf numFmtId="1" fontId="19" fillId="0" borderId="14" xfId="6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" fontId="7" fillId="3" borderId="6" xfId="5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165" fontId="19" fillId="0" borderId="14" xfId="6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0" fontId="20" fillId="0" borderId="0" xfId="2" applyFont="1" applyAlignment="1">
      <alignment horizontal="left" vertical="center"/>
    </xf>
    <xf numFmtId="0" fontId="3" fillId="0" borderId="0" xfId="2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/>
    <xf numFmtId="0" fontId="14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24" fillId="0" borderId="0" xfId="0" applyFont="1"/>
    <xf numFmtId="0" fontId="1" fillId="0" borderId="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7" xfId="0" applyFont="1" applyBorder="1"/>
    <xf numFmtId="0" fontId="2" fillId="0" borderId="5" xfId="0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4" xfId="0" applyFont="1" applyBorder="1"/>
    <xf numFmtId="0" fontId="1" fillId="5" borderId="0" xfId="1" applyFont="1" applyFill="1" applyAlignment="1">
      <alignment horizontal="right" vertical="center"/>
    </xf>
    <xf numFmtId="164" fontId="1" fillId="5" borderId="0" xfId="0" applyNumberFormat="1" applyFont="1" applyFill="1" applyAlignment="1">
      <alignment vertical="center"/>
    </xf>
    <xf numFmtId="0" fontId="1" fillId="0" borderId="5" xfId="2" applyFont="1" applyBorder="1" applyAlignment="1">
      <alignment vertical="center"/>
    </xf>
    <xf numFmtId="0" fontId="20" fillId="0" borderId="4" xfId="2" applyFont="1" applyBorder="1" applyAlignment="1">
      <alignment horizontal="left" vertical="center"/>
    </xf>
    <xf numFmtId="0" fontId="1" fillId="0" borderId="5" xfId="0" applyFont="1" applyBorder="1"/>
    <xf numFmtId="1" fontId="1" fillId="0" borderId="4" xfId="1" applyNumberFormat="1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7" fillId="6" borderId="18" xfId="5" applyFont="1" applyFill="1" applyBorder="1" applyAlignment="1" applyProtection="1">
      <alignment horizontal="center" vertical="center"/>
      <protection locked="0"/>
    </xf>
    <xf numFmtId="164" fontId="1" fillId="5" borderId="0" xfId="1" applyNumberFormat="1" applyFont="1" applyFill="1" applyAlignment="1">
      <alignment vertical="center"/>
    </xf>
    <xf numFmtId="1" fontId="1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1" fillId="0" borderId="10" xfId="0" applyFont="1" applyBorder="1"/>
    <xf numFmtId="0" fontId="1" fillId="0" borderId="10" xfId="1" applyFont="1" applyBorder="1" applyAlignment="1">
      <alignment horizontal="right" vertical="center"/>
    </xf>
    <xf numFmtId="164" fontId="1" fillId="0" borderId="10" xfId="1" applyNumberFormat="1" applyFont="1" applyBorder="1" applyAlignment="1">
      <alignment vertical="center"/>
    </xf>
    <xf numFmtId="2" fontId="1" fillId="5" borderId="0" xfId="0" applyNumberFormat="1" applyFont="1" applyFill="1" applyAlignment="1">
      <alignment vertical="center"/>
    </xf>
    <xf numFmtId="0" fontId="11" fillId="0" borderId="0" xfId="0" applyFont="1"/>
    <xf numFmtId="1" fontId="1" fillId="5" borderId="0" xfId="0" applyNumberFormat="1" applyFont="1" applyFill="1" applyAlignment="1">
      <alignment vertical="center"/>
    </xf>
    <xf numFmtId="165" fontId="1" fillId="5" borderId="0" xfId="0" applyNumberFormat="1" applyFont="1" applyFill="1" applyAlignment="1">
      <alignment vertical="center"/>
    </xf>
    <xf numFmtId="0" fontId="26" fillId="0" borderId="0" xfId="0" applyFont="1"/>
    <xf numFmtId="0" fontId="0" fillId="0" borderId="0" xfId="0" applyAlignment="1"/>
    <xf numFmtId="0" fontId="22" fillId="0" borderId="12" xfId="0" applyFont="1" applyBorder="1"/>
    <xf numFmtId="0" fontId="27" fillId="0" borderId="0" xfId="0" applyFont="1" applyAlignment="1">
      <alignment vertical="center"/>
    </xf>
    <xf numFmtId="0" fontId="22" fillId="0" borderId="12" xfId="0" quotePrefix="1" applyFont="1" applyBorder="1"/>
    <xf numFmtId="0" fontId="28" fillId="0" borderId="5" xfId="0" applyFont="1" applyBorder="1" applyAlignment="1">
      <alignment vertical="center"/>
    </xf>
    <xf numFmtId="0" fontId="8" fillId="4" borderId="1" xfId="0" applyFont="1" applyFill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164" fontId="1" fillId="0" borderId="0" xfId="1" applyNumberFormat="1" applyFont="1" applyBorder="1" applyAlignment="1">
      <alignment vertical="center"/>
    </xf>
    <xf numFmtId="2" fontId="1" fillId="0" borderId="0" xfId="1" applyNumberFormat="1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1" fillId="0" borderId="16" xfId="0" applyFont="1" applyBorder="1"/>
    <xf numFmtId="0" fontId="1" fillId="0" borderId="12" xfId="0" applyFont="1" applyBorder="1" applyAlignment="1"/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30" fillId="2" borderId="2" xfId="1" applyFont="1" applyFill="1" applyBorder="1" applyAlignment="1">
      <alignment horizontal="right" vertical="center"/>
    </xf>
    <xf numFmtId="0" fontId="1" fillId="0" borderId="13" xfId="0" applyFont="1" applyBorder="1"/>
    <xf numFmtId="0" fontId="8" fillId="0" borderId="13" xfId="0" applyFont="1" applyFill="1" applyBorder="1" applyAlignment="1">
      <alignment horizontal="centerContinuous" vertical="center"/>
    </xf>
    <xf numFmtId="0" fontId="1" fillId="0" borderId="17" xfId="0" applyFont="1" applyBorder="1"/>
    <xf numFmtId="0" fontId="26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26" fillId="0" borderId="0" xfId="0" applyFont="1" applyBorder="1" applyAlignment="1">
      <alignment horizontal="right" vertical="center"/>
    </xf>
    <xf numFmtId="0" fontId="1" fillId="0" borderId="15" xfId="0" applyFont="1" applyBorder="1"/>
    <xf numFmtId="0" fontId="26" fillId="0" borderId="10" xfId="0" applyFont="1" applyBorder="1" applyAlignment="1">
      <alignment horizontal="right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165" fontId="7" fillId="3" borderId="6" xfId="2" applyNumberFormat="1" applyFont="1" applyFill="1" applyBorder="1" applyAlignment="1" applyProtection="1">
      <alignment horizontal="center" vertical="center"/>
      <protection locked="0"/>
    </xf>
    <xf numFmtId="164" fontId="19" fillId="0" borderId="14" xfId="6" applyNumberFormat="1" applyFont="1" applyBorder="1" applyAlignment="1">
      <alignment horizontal="center" vertical="center"/>
    </xf>
    <xf numFmtId="165" fontId="2" fillId="2" borderId="2" xfId="1" applyNumberFormat="1" applyFont="1" applyFill="1" applyBorder="1" applyAlignment="1">
      <alignment vertical="center"/>
    </xf>
    <xf numFmtId="0" fontId="15" fillId="0" borderId="0" xfId="0" applyFont="1" applyBorder="1"/>
    <xf numFmtId="0" fontId="11" fillId="0" borderId="0" xfId="0" applyFont="1" applyBorder="1" applyAlignment="1">
      <alignment vertical="center"/>
    </xf>
    <xf numFmtId="0" fontId="22" fillId="0" borderId="19" xfId="0" quotePrefix="1" applyFont="1" applyBorder="1"/>
    <xf numFmtId="0" fontId="15" fillId="0" borderId="19" xfId="0" applyFont="1" applyBorder="1"/>
    <xf numFmtId="0" fontId="1" fillId="0" borderId="19" xfId="0" applyFont="1" applyBorder="1" applyAlignment="1">
      <alignment horizontal="right" vertical="top"/>
    </xf>
    <xf numFmtId="1" fontId="21" fillId="0" borderId="20" xfId="6" applyNumberFormat="1" applyFont="1" applyBorder="1" applyAlignment="1">
      <alignment horizontal="center" vertical="center"/>
    </xf>
    <xf numFmtId="0" fontId="24" fillId="5" borderId="0" xfId="0" applyFont="1" applyFill="1"/>
    <xf numFmtId="0" fontId="33" fillId="0" borderId="0" xfId="0" applyFont="1"/>
    <xf numFmtId="0" fontId="34" fillId="2" borderId="3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right" vertical="center"/>
    </xf>
    <xf numFmtId="0" fontId="35" fillId="2" borderId="2" xfId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24" fillId="0" borderId="13" xfId="0" applyFont="1" applyBorder="1"/>
    <xf numFmtId="0" fontId="8" fillId="2" borderId="3" xfId="0" applyFont="1" applyFill="1" applyBorder="1" applyAlignment="1">
      <alignment vertical="center"/>
    </xf>
    <xf numFmtId="0" fontId="23" fillId="5" borderId="0" xfId="0" applyFont="1" applyFill="1"/>
    <xf numFmtId="0" fontId="15" fillId="0" borderId="12" xfId="0" applyFont="1" applyBorder="1" applyAlignment="1">
      <alignment horizontal="right"/>
    </xf>
    <xf numFmtId="14" fontId="1" fillId="0" borderId="11" xfId="0" applyNumberFormat="1" applyFont="1" applyBorder="1"/>
    <xf numFmtId="2" fontId="7" fillId="3" borderId="6" xfId="2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/>
    <xf numFmtId="0" fontId="1" fillId="0" borderId="0" xfId="0" applyFont="1" applyBorder="1" applyAlignment="1">
      <alignment horizontal="left" vertical="center"/>
    </xf>
    <xf numFmtId="0" fontId="12" fillId="5" borderId="0" xfId="0" applyFont="1" applyFill="1" applyBorder="1"/>
    <xf numFmtId="0" fontId="12" fillId="5" borderId="10" xfId="0" applyFont="1" applyFill="1" applyBorder="1"/>
  </cellXfs>
  <cellStyles count="7">
    <cellStyle name="Hyperlink 2" xfId="4" xr:uid="{1D203407-B5D4-4B75-A5C0-60CB5863CA9A}"/>
    <cellStyle name="Normal" xfId="0" builtinId="0"/>
    <cellStyle name="Standard_HWB Kurzverf. Formular" xfId="6" xr:uid="{5829427E-52AB-40B6-9259-6D2FB7B9C8FD}"/>
    <cellStyle name="Standard_HWB Kurzverf. Formular (2)" xfId="5" xr:uid="{59E92B87-2173-4D47-A15F-490AE6DAC22C}"/>
    <cellStyle name="Standard_k-Wert Kalkulation" xfId="3" xr:uid="{D3D1EA26-66CD-40C3-B707-2581C854A14B}"/>
    <cellStyle name="Standard_LEG HZ-K Formular" xfId="2" xr:uid="{4DBE64B0-0422-4CCC-999E-BAF387406182}"/>
    <cellStyle name="Standard_Termpabh. alpha" xfId="1" xr:uid="{B0DCA89E-86CB-49F7-A742-166A4DB339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D965-A537-48C3-A679-97402739C2F6}">
  <sheetPr codeName="Tabelle11">
    <tabColor indexed="51"/>
    <outlinePr summaryBelow="0" summaryRight="0"/>
    <pageSetUpPr autoPageBreaks="0" fitToPage="1"/>
  </sheetPr>
  <dimension ref="A1:AM78"/>
  <sheetViews>
    <sheetView showGridLines="0" tabSelected="1" topLeftCell="C2" zoomScaleNormal="100" workbookViewId="0">
      <selection activeCell="H3" sqref="H3"/>
    </sheetView>
  </sheetViews>
  <sheetFormatPr defaultColWidth="11.42578125" defaultRowHeight="12.75" outlineLevelCol="1"/>
  <cols>
    <col min="1" max="1" width="3.5703125" style="29" hidden="1" customWidth="1"/>
    <col min="2" max="2" width="13.7109375" style="29" hidden="1" customWidth="1"/>
    <col min="3" max="3" width="2.7109375" style="2" customWidth="1" collapsed="1"/>
    <col min="4" max="4" width="45.5703125" style="2" hidden="1" customWidth="1" outlineLevel="1"/>
    <col min="5" max="5" width="0.85546875" style="2" hidden="1" customWidth="1" outlineLevel="1"/>
    <col min="6" max="6" width="1.7109375" style="87" customWidth="1"/>
    <col min="7" max="7" width="0.85546875" style="2" customWidth="1"/>
    <col min="8" max="8" width="5.85546875" style="2" customWidth="1"/>
    <col min="9" max="9" width="5.5703125" style="2" customWidth="1"/>
    <col min="10" max="10" width="12.7109375" style="2" customWidth="1"/>
    <col min="11" max="11" width="15" style="2" customWidth="1"/>
    <col min="12" max="12" width="25.7109375" style="2" customWidth="1"/>
    <col min="13" max="13" width="10.28515625" style="2" customWidth="1"/>
    <col min="14" max="14" width="14.85546875" style="2" customWidth="1"/>
    <col min="15" max="15" width="15.5703125" style="2" customWidth="1"/>
    <col min="16" max="16" width="15.85546875" style="2" customWidth="1"/>
    <col min="17" max="17" width="13.7109375" style="2" customWidth="1"/>
    <col min="18" max="18" width="19.7109375" style="2" customWidth="1"/>
    <col min="19" max="19" width="13.7109375" style="2" customWidth="1"/>
    <col min="20" max="20" width="0.85546875" style="2" customWidth="1"/>
    <col min="21" max="23" width="10.140625" style="31" hidden="1" customWidth="1"/>
    <col min="24" max="25" width="11.42578125" style="2" hidden="1" customWidth="1"/>
    <col min="26" max="26" width="20.140625" style="2" hidden="1" customWidth="1"/>
    <col min="27" max="27" width="13" style="2" hidden="1" customWidth="1"/>
    <col min="28" max="28" width="16.5703125" style="2" hidden="1" customWidth="1"/>
    <col min="29" max="30" width="11.42578125" style="2" hidden="1" customWidth="1"/>
    <col min="31" max="31" width="11.5703125" style="2" hidden="1" customWidth="1"/>
    <col min="32" max="32" width="11.42578125" style="2" hidden="1" customWidth="1"/>
    <col min="33" max="35" width="0" style="2" hidden="1" customWidth="1"/>
    <col min="36" max="16384" width="11.42578125" style="2"/>
  </cols>
  <sheetData>
    <row r="1" spans="1:39" hidden="1">
      <c r="A1" s="29" t="s">
        <v>24</v>
      </c>
      <c r="B1" s="29" t="s">
        <v>25</v>
      </c>
      <c r="C1" s="29"/>
      <c r="D1" s="29" t="s">
        <v>26</v>
      </c>
      <c r="E1" s="29"/>
      <c r="F1" s="30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X1" s="29"/>
      <c r="Y1" s="29"/>
      <c r="Z1" s="29"/>
      <c r="AA1" s="29"/>
      <c r="AB1" s="29"/>
      <c r="AC1" s="29"/>
      <c r="AD1" s="29"/>
      <c r="AE1" s="29"/>
      <c r="AF1" s="29"/>
    </row>
    <row r="2" spans="1:39" s="39" customFormat="1" ht="13.5" customHeight="1" thickBot="1">
      <c r="A2" s="32"/>
      <c r="B2" s="33"/>
      <c r="C2"/>
      <c r="D2"/>
      <c r="E2"/>
      <c r="F2"/>
      <c r="G2" s="34"/>
      <c r="H2" s="35" t="s">
        <v>56</v>
      </c>
      <c r="I2" s="35"/>
      <c r="J2" s="36"/>
      <c r="K2" s="36"/>
      <c r="L2" s="36"/>
      <c r="M2" s="36"/>
      <c r="N2" s="36"/>
      <c r="O2" s="36"/>
      <c r="P2" s="36"/>
      <c r="Q2" s="36"/>
      <c r="R2" s="36"/>
      <c r="S2" s="36"/>
      <c r="T2" s="34"/>
      <c r="U2" s="37"/>
      <c r="V2" s="37"/>
      <c r="W2" s="37"/>
      <c r="X2" s="38"/>
      <c r="Y2" s="38"/>
      <c r="Z2" s="38"/>
      <c r="AA2" s="38"/>
      <c r="AB2" s="38"/>
      <c r="AC2" s="38"/>
      <c r="AD2" s="38"/>
      <c r="AE2" s="38"/>
      <c r="AF2" s="38"/>
    </row>
    <row r="3" spans="1:39" s="39" customFormat="1" ht="27.95" customHeight="1">
      <c r="A3" s="32"/>
      <c r="B3" s="33"/>
      <c r="C3"/>
      <c r="D3"/>
      <c r="E3"/>
      <c r="F3"/>
      <c r="G3" s="34"/>
      <c r="H3" s="40" t="s">
        <v>69</v>
      </c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143" t="s">
        <v>91</v>
      </c>
      <c r="AM3" s="40"/>
    </row>
    <row r="4" spans="1:39" ht="21.95" customHeight="1" thickBot="1">
      <c r="B4" s="33"/>
      <c r="C4"/>
      <c r="D4"/>
      <c r="E4"/>
      <c r="F4"/>
      <c r="G4" s="13"/>
      <c r="H4" s="42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144">
        <v>44393</v>
      </c>
      <c r="AM4" s="42"/>
    </row>
    <row r="5" spans="1:39" ht="21.95" customHeight="1" thickBot="1">
      <c r="B5" s="33"/>
      <c r="C5"/>
      <c r="D5"/>
      <c r="E5"/>
      <c r="F5"/>
      <c r="G5" s="13"/>
      <c r="H5" s="92" t="s">
        <v>87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</row>
    <row r="6" spans="1:39" ht="21.95" customHeight="1">
      <c r="B6" s="33"/>
      <c r="C6"/>
      <c r="D6"/>
      <c r="E6"/>
      <c r="F6"/>
      <c r="G6" s="13"/>
      <c r="H6" s="58"/>
      <c r="I6" s="59"/>
      <c r="J6" s="60"/>
      <c r="K6" s="58"/>
      <c r="L6" s="59"/>
      <c r="M6" s="61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</row>
    <row r="7" spans="1:39" ht="21.95" customHeight="1">
      <c r="B7" s="33"/>
      <c r="C7"/>
      <c r="D7"/>
      <c r="E7"/>
      <c r="F7"/>
      <c r="G7" s="13"/>
      <c r="H7" s="146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</row>
    <row r="8" spans="1:39" ht="21.95" customHeight="1" thickBot="1">
      <c r="B8" s="33"/>
      <c r="C8"/>
      <c r="D8"/>
      <c r="E8"/>
      <c r="F8"/>
      <c r="G8" s="13"/>
      <c r="H8" s="98"/>
      <c r="I8" s="23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66"/>
      <c r="AK8" s="98"/>
      <c r="AL8" s="98"/>
      <c r="AM8" s="98"/>
    </row>
    <row r="9" spans="1:39">
      <c r="D9" s="108"/>
      <c r="E9" s="108"/>
      <c r="F9"/>
      <c r="G9"/>
      <c r="H9"/>
      <c r="I9" s="74"/>
      <c r="J9" s="98"/>
      <c r="K9" s="99" t="s">
        <v>22</v>
      </c>
      <c r="L9" s="124">
        <f>1.2</f>
        <v>1.2</v>
      </c>
      <c r="M9" s="117" t="s">
        <v>21</v>
      </c>
      <c r="N9" s="116" t="s">
        <v>85</v>
      </c>
      <c r="O9" s="98"/>
      <c r="P9" s="99" t="s">
        <v>79</v>
      </c>
      <c r="Q9" s="48">
        <v>25</v>
      </c>
      <c r="R9" s="147" t="s">
        <v>80</v>
      </c>
      <c r="S9" s="116" t="s">
        <v>81</v>
      </c>
      <c r="T9" s="98"/>
      <c r="U9" s="148"/>
      <c r="V9" s="148"/>
      <c r="W9" s="14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69"/>
    </row>
    <row r="10" spans="1:39" ht="13.15" customHeight="1">
      <c r="D10" s="109"/>
      <c r="E10" s="109"/>
      <c r="F10" s="109"/>
      <c r="G10" s="109"/>
      <c r="H10" s="109"/>
      <c r="I10" s="74"/>
      <c r="J10" s="98"/>
      <c r="K10" s="99" t="s">
        <v>79</v>
      </c>
      <c r="L10" s="125">
        <f>$Q$9*$Q$10/1000</f>
        <v>7.4999999999999997E-2</v>
      </c>
      <c r="M10" s="117" t="s">
        <v>74</v>
      </c>
      <c r="N10" s="98"/>
      <c r="O10" s="98"/>
      <c r="P10" s="99" t="s">
        <v>28</v>
      </c>
      <c r="Q10" s="20">
        <v>3</v>
      </c>
      <c r="R10" s="147" t="s">
        <v>82</v>
      </c>
      <c r="S10" s="116" t="s">
        <v>73</v>
      </c>
      <c r="T10" s="98"/>
      <c r="U10" s="148"/>
      <c r="V10" s="148"/>
      <c r="W10" s="14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69"/>
    </row>
    <row r="11" spans="1:39" ht="13.9" customHeight="1">
      <c r="D11" s="109"/>
      <c r="E11" s="109"/>
      <c r="F11" s="109"/>
      <c r="G11" s="109"/>
      <c r="H11" s="109"/>
      <c r="I11" s="74"/>
      <c r="J11" s="98"/>
      <c r="K11" s="99" t="s">
        <v>93</v>
      </c>
      <c r="L11" s="125">
        <v>1.1599999999999999</v>
      </c>
      <c r="M11" s="117" t="s">
        <v>20</v>
      </c>
      <c r="N11" s="98" t="s">
        <v>19</v>
      </c>
      <c r="O11" s="98"/>
      <c r="P11" s="99" t="s">
        <v>23</v>
      </c>
      <c r="Q11" s="124">
        <v>1.6</v>
      </c>
      <c r="R11" s="147"/>
      <c r="S11" s="116" t="s">
        <v>75</v>
      </c>
      <c r="T11" s="98"/>
      <c r="U11" s="148"/>
      <c r="V11" s="148"/>
      <c r="W11" s="14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69"/>
    </row>
    <row r="12" spans="1:39" ht="13.5">
      <c r="D12" s="109"/>
      <c r="E12" s="109"/>
      <c r="F12" s="109"/>
      <c r="G12" s="109"/>
      <c r="H12" s="109"/>
      <c r="I12" s="74"/>
      <c r="J12" s="98"/>
      <c r="K12" s="99" t="s">
        <v>18</v>
      </c>
      <c r="L12" s="20">
        <v>60</v>
      </c>
      <c r="M12" s="117" t="s">
        <v>71</v>
      </c>
      <c r="N12" s="117"/>
      <c r="O12" s="117"/>
      <c r="P12" s="98"/>
      <c r="Q12" s="98"/>
      <c r="R12" s="98"/>
      <c r="S12" s="98"/>
      <c r="T12" s="98"/>
      <c r="U12" s="148"/>
      <c r="V12" s="148"/>
      <c r="W12" s="14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69"/>
    </row>
    <row r="13" spans="1:39" ht="13.15" customHeight="1">
      <c r="D13" s="109"/>
      <c r="E13" s="109"/>
      <c r="F13" s="109"/>
      <c r="G13" s="109"/>
      <c r="H13" s="109"/>
      <c r="I13" s="74"/>
      <c r="J13" s="98"/>
      <c r="K13" s="99" t="s">
        <v>17</v>
      </c>
      <c r="L13" s="20">
        <v>10</v>
      </c>
      <c r="M13" s="117" t="s">
        <v>30</v>
      </c>
      <c r="N13" s="117"/>
      <c r="O13" s="117"/>
      <c r="P13" s="117"/>
      <c r="Q13" s="117"/>
      <c r="R13" s="98"/>
      <c r="S13" s="98"/>
      <c r="T13" s="98"/>
      <c r="U13" s="148"/>
      <c r="V13" s="148"/>
      <c r="W13" s="14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69"/>
    </row>
    <row r="14" spans="1:39" ht="13.15" customHeight="1" thickBot="1">
      <c r="D14" s="110"/>
      <c r="E14" s="110"/>
      <c r="F14"/>
      <c r="G14"/>
      <c r="H14"/>
      <c r="I14" s="74"/>
      <c r="J14" s="98"/>
      <c r="K14" s="99" t="s">
        <v>16</v>
      </c>
      <c r="L14" s="48">
        <f>L12-L13</f>
        <v>50</v>
      </c>
      <c r="M14" s="117" t="s">
        <v>15</v>
      </c>
      <c r="N14" s="117"/>
      <c r="O14" s="117"/>
      <c r="P14" s="117"/>
      <c r="Q14" s="117"/>
      <c r="R14" s="98"/>
      <c r="S14" s="98"/>
      <c r="T14" s="98"/>
      <c r="U14" s="148"/>
      <c r="V14" s="148"/>
      <c r="W14" s="14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69"/>
    </row>
    <row r="15" spans="1:39">
      <c r="F15"/>
      <c r="G15"/>
      <c r="H15"/>
      <c r="I15" s="74"/>
      <c r="J15" s="98"/>
      <c r="K15" s="117"/>
      <c r="L15" s="27"/>
      <c r="M15" s="117"/>
      <c r="N15" s="118"/>
      <c r="O15" s="117"/>
      <c r="P15" s="117"/>
      <c r="Q15" s="117"/>
      <c r="R15" s="98"/>
      <c r="S15" s="98"/>
      <c r="T15" s="98"/>
      <c r="U15" s="148"/>
      <c r="V15" s="148"/>
      <c r="W15" s="14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69"/>
    </row>
    <row r="16" spans="1:39" ht="13.15" customHeight="1">
      <c r="F16"/>
      <c r="G16"/>
      <c r="H16"/>
      <c r="I16" s="74"/>
      <c r="J16" s="98"/>
      <c r="K16" s="119" t="s">
        <v>14</v>
      </c>
      <c r="L16" s="126">
        <f>(L10*Q11)/(L9/(L11*L14))</f>
        <v>5.7999999999999989</v>
      </c>
      <c r="M16" s="117" t="s">
        <v>29</v>
      </c>
      <c r="N16" s="98"/>
      <c r="O16" s="117"/>
      <c r="P16" s="117"/>
      <c r="Q16" s="117"/>
      <c r="R16" s="98"/>
      <c r="S16" s="98"/>
      <c r="T16" s="98"/>
      <c r="U16" s="148"/>
      <c r="V16" s="148"/>
      <c r="W16" s="14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69"/>
    </row>
    <row r="17" spans="2:39" ht="13.15" customHeight="1">
      <c r="F17" s="2"/>
      <c r="G17" s="111"/>
      <c r="H17" s="111"/>
      <c r="I17" s="120"/>
      <c r="J17" s="83"/>
      <c r="K17" s="121" t="s">
        <v>13</v>
      </c>
      <c r="L17" s="7">
        <f>L16/24</f>
        <v>0.24166666666666661</v>
      </c>
      <c r="M17" s="122"/>
      <c r="N17" s="123"/>
      <c r="O17" s="122"/>
      <c r="P17" s="122"/>
      <c r="Q17" s="122"/>
      <c r="R17" s="83"/>
      <c r="S17" s="83"/>
      <c r="T17" s="83"/>
      <c r="U17" s="149"/>
      <c r="V17" s="149"/>
      <c r="W17" s="149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107"/>
    </row>
    <row r="18" spans="2:39" ht="8.1" customHeight="1">
      <c r="B18" s="43"/>
      <c r="C18"/>
      <c r="D18"/>
      <c r="E18"/>
      <c r="F18"/>
      <c r="G18" s="13"/>
      <c r="H18" s="13"/>
      <c r="I18" s="44"/>
      <c r="J18" s="13"/>
      <c r="K18" s="45"/>
      <c r="L18" s="46"/>
      <c r="M18" s="46"/>
      <c r="N18" s="46"/>
      <c r="O18" s="46"/>
      <c r="P18" s="47"/>
      <c r="Q18" s="47"/>
      <c r="S18" s="13"/>
      <c r="T18" s="13"/>
      <c r="U18" s="37"/>
      <c r="V18" s="37"/>
      <c r="W18" s="37"/>
      <c r="X18" s="43"/>
      <c r="Y18" s="43"/>
      <c r="Z18" s="43"/>
      <c r="AA18" s="43"/>
      <c r="AB18" s="43"/>
      <c r="AC18" s="43"/>
      <c r="AD18" s="43"/>
      <c r="AE18" s="43"/>
      <c r="AF18" s="43"/>
    </row>
    <row r="19" spans="2:39" ht="13.5" thickBot="1">
      <c r="B19" s="43"/>
      <c r="C19"/>
      <c r="D19"/>
      <c r="E19"/>
      <c r="F19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37"/>
      <c r="V19" s="37"/>
      <c r="W19" s="37"/>
      <c r="X19" s="43"/>
      <c r="Y19" s="43"/>
      <c r="Z19" s="43"/>
      <c r="AA19" s="43"/>
      <c r="AB19" s="43"/>
      <c r="AC19" s="43"/>
      <c r="AD19" s="43"/>
      <c r="AE19" s="43"/>
      <c r="AF19" s="43"/>
    </row>
    <row r="20" spans="2:39" ht="27.95" customHeight="1">
      <c r="B20" s="33"/>
      <c r="C20" s="117"/>
      <c r="D20" s="117"/>
      <c r="E20" s="117"/>
      <c r="F20" s="117"/>
      <c r="G20" s="97"/>
      <c r="H20" s="92" t="s">
        <v>86</v>
      </c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</row>
    <row r="21" spans="2:39" ht="4.1500000000000004" customHeight="1" thickBot="1">
      <c r="B21" s="33"/>
      <c r="C21" s="117"/>
      <c r="D21" s="117"/>
      <c r="E21" s="117"/>
      <c r="F21" s="117"/>
      <c r="G21" s="97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</row>
    <row r="22" spans="2:39">
      <c r="B22" s="33"/>
      <c r="C22" s="117"/>
      <c r="D22" s="117"/>
      <c r="E22" s="117"/>
      <c r="F22" s="117"/>
      <c r="G22" s="97"/>
      <c r="H22" s="58"/>
      <c r="I22" s="59"/>
      <c r="J22" s="60"/>
      <c r="K22" s="58"/>
      <c r="L22" s="59"/>
      <c r="M22" s="61"/>
      <c r="N22" s="58"/>
      <c r="O22" s="58"/>
      <c r="P22" s="58"/>
      <c r="Q22" s="58"/>
      <c r="R22" s="58"/>
      <c r="S22" s="58"/>
      <c r="T22" s="13"/>
      <c r="U22" s="37"/>
      <c r="V22" s="37"/>
      <c r="W22" s="37"/>
      <c r="X22" s="43"/>
      <c r="Y22" s="43"/>
      <c r="Z22" s="43"/>
      <c r="AA22" s="43"/>
      <c r="AB22" s="43"/>
      <c r="AC22" s="43"/>
      <c r="AD22" s="43"/>
      <c r="AE22" s="43"/>
      <c r="AF22" s="43"/>
    </row>
    <row r="23" spans="2:39" ht="15.95" customHeight="1">
      <c r="B23" s="33"/>
      <c r="C23" s="117"/>
      <c r="D23" s="117"/>
      <c r="E23" s="117"/>
      <c r="F23" s="117"/>
      <c r="G23" s="97"/>
      <c r="H23" s="13"/>
      <c r="J23" s="13"/>
      <c r="K23" s="13"/>
      <c r="L23" s="13"/>
      <c r="M23" s="13"/>
      <c r="N23" s="13"/>
      <c r="S23" s="13"/>
      <c r="T23" s="13"/>
      <c r="U23" s="37"/>
      <c r="V23" s="37"/>
      <c r="W23" s="37"/>
      <c r="X23" s="43"/>
      <c r="Y23" s="43"/>
      <c r="Z23" s="43"/>
      <c r="AA23" s="43"/>
      <c r="AB23" s="43"/>
      <c r="AC23" s="43"/>
      <c r="AD23" s="43"/>
      <c r="AE23" s="43"/>
      <c r="AF23" s="43"/>
    </row>
    <row r="24" spans="2:39" ht="15.95" customHeight="1">
      <c r="B24" s="33"/>
      <c r="C24" s="117"/>
      <c r="D24" s="117"/>
      <c r="E24" s="117"/>
      <c r="F24" s="117"/>
      <c r="G24" s="97"/>
      <c r="H24" s="13"/>
      <c r="I24" s="13" t="s">
        <v>72</v>
      </c>
      <c r="J24" s="13"/>
      <c r="K24" s="13"/>
      <c r="L24" s="13"/>
      <c r="M24" s="18" t="s">
        <v>27</v>
      </c>
      <c r="N24" s="51">
        <v>300</v>
      </c>
      <c r="O24" s="90" t="s">
        <v>94</v>
      </c>
      <c r="P24" s="132"/>
      <c r="Q24" s="52"/>
      <c r="S24" s="13"/>
      <c r="T24" s="13"/>
      <c r="U24" s="37"/>
      <c r="V24" s="37"/>
      <c r="W24" s="37"/>
      <c r="X24" s="43"/>
      <c r="Y24" s="43"/>
      <c r="Z24" s="43"/>
      <c r="AA24" s="43"/>
      <c r="AB24" s="43"/>
      <c r="AC24" s="43"/>
      <c r="AD24" s="43"/>
      <c r="AE24" s="43"/>
      <c r="AF24" s="43"/>
    </row>
    <row r="25" spans="2:39">
      <c r="B25" s="33"/>
      <c r="C25" s="117"/>
      <c r="D25" s="117"/>
      <c r="E25" s="117"/>
      <c r="F25" s="117"/>
      <c r="G25" s="97"/>
      <c r="H25" s="13"/>
      <c r="P25" s="28"/>
      <c r="Q25" s="28"/>
      <c r="R25" s="28"/>
      <c r="S25" s="13"/>
      <c r="T25" s="13"/>
      <c r="U25" s="37"/>
      <c r="V25" s="37"/>
      <c r="W25" s="37"/>
      <c r="X25" s="43"/>
      <c r="Y25" s="43"/>
      <c r="Z25" s="43"/>
      <c r="AA25" s="43"/>
      <c r="AB25" s="43"/>
      <c r="AC25" s="43"/>
      <c r="AD25" s="43"/>
      <c r="AE25" s="43"/>
      <c r="AF25" s="43"/>
    </row>
    <row r="26" spans="2:39">
      <c r="B26" s="33"/>
      <c r="C26" s="117"/>
      <c r="D26" s="117"/>
      <c r="E26" s="117"/>
      <c r="F26" s="117"/>
      <c r="G26" s="97"/>
      <c r="H26" s="54"/>
      <c r="I26" s="2" t="s">
        <v>76</v>
      </c>
      <c r="M26" s="26" t="s">
        <v>15</v>
      </c>
      <c r="N26" s="51">
        <v>5</v>
      </c>
      <c r="O26" s="90" t="s">
        <v>94</v>
      </c>
      <c r="P26" s="13"/>
      <c r="T26" s="13"/>
      <c r="U26" s="37"/>
      <c r="V26" s="37"/>
      <c r="W26" s="37"/>
      <c r="X26" s="43"/>
      <c r="Y26" s="43"/>
      <c r="Z26" s="43"/>
      <c r="AA26" s="29"/>
      <c r="AB26" s="29"/>
      <c r="AC26" s="29"/>
      <c r="AD26" s="29" t="s">
        <v>31</v>
      </c>
      <c r="AE26" s="29" t="e">
        <f>Lueftung_Auslegungsvolumenstrom*0.33*#REF!</f>
        <v>#REF!</v>
      </c>
      <c r="AF26" s="43"/>
    </row>
    <row r="27" spans="2:39">
      <c r="B27" s="33"/>
      <c r="C27" s="117"/>
      <c r="D27" s="117"/>
      <c r="E27" s="117"/>
      <c r="F27" s="117"/>
      <c r="G27" s="97"/>
      <c r="H27" s="54"/>
      <c r="I27" s="65" t="s">
        <v>32</v>
      </c>
      <c r="J27" s="22"/>
      <c r="K27" s="22"/>
      <c r="L27" s="22"/>
      <c r="M27" s="66"/>
      <c r="O27" s="65" t="s">
        <v>32</v>
      </c>
      <c r="P27" s="22"/>
      <c r="Q27" s="22"/>
      <c r="R27" s="66"/>
      <c r="T27" s="13"/>
      <c r="U27" s="37"/>
      <c r="V27" s="37"/>
      <c r="W27" s="37"/>
      <c r="X27" s="43"/>
      <c r="Y27" s="43"/>
      <c r="Z27" s="43"/>
      <c r="AA27" s="29"/>
      <c r="AB27" s="29"/>
      <c r="AC27" s="29"/>
      <c r="AD27" s="29" t="s">
        <v>33</v>
      </c>
      <c r="AE27" s="29" t="e">
        <f>IF(#REF!&gt;0,#REF!/#REF!/1000,0)</f>
        <v>#REF!</v>
      </c>
      <c r="AF27" s="43"/>
    </row>
    <row r="28" spans="2:39">
      <c r="B28" s="33"/>
      <c r="C28" s="117"/>
      <c r="D28" s="117"/>
      <c r="E28" s="117"/>
      <c r="F28" s="117"/>
      <c r="G28" s="97"/>
      <c r="H28" s="54"/>
      <c r="I28" s="67" t="s">
        <v>77</v>
      </c>
      <c r="J28" s="54"/>
      <c r="K28" s="55"/>
      <c r="L28" s="54"/>
      <c r="M28" s="68"/>
      <c r="N28" s="54"/>
      <c r="O28" s="95" t="s">
        <v>78</v>
      </c>
      <c r="R28" s="69"/>
      <c r="T28" s="13"/>
      <c r="U28" s="37"/>
      <c r="V28" s="37"/>
      <c r="W28" s="37"/>
      <c r="X28" s="29"/>
      <c r="Y28" s="70" t="s">
        <v>34</v>
      </c>
      <c r="Z28" s="71">
        <f>IF(L41=L40,0,1/2/L36*LN(L41/L40))</f>
        <v>5.9367224281519384</v>
      </c>
      <c r="AA28" s="43"/>
      <c r="AB28" s="43"/>
      <c r="AC28" s="70" t="s">
        <v>34</v>
      </c>
      <c r="AD28" s="43">
        <f>IF(Q41=Q40,0,1/2/Q36*LN(Q41/Q40))</f>
        <v>5.9367224281519384</v>
      </c>
      <c r="AE28" s="43"/>
      <c r="AF28" s="43"/>
    </row>
    <row r="29" spans="2:39" ht="5.25" customHeight="1">
      <c r="B29" s="33"/>
      <c r="C29" s="117"/>
      <c r="D29" s="117"/>
      <c r="E29" s="117"/>
      <c r="F29" s="117"/>
      <c r="G29" s="97"/>
      <c r="H29" s="54"/>
      <c r="I29" s="72"/>
      <c r="J29" s="54"/>
      <c r="K29" s="55"/>
      <c r="L29" s="56"/>
      <c r="M29" s="73"/>
      <c r="N29" s="57"/>
      <c r="O29" s="74"/>
      <c r="R29" s="69"/>
      <c r="T29" s="13"/>
      <c r="U29" s="37"/>
      <c r="V29" s="37"/>
      <c r="W29" s="37"/>
      <c r="X29" s="29"/>
      <c r="Y29" s="70"/>
      <c r="Z29" s="71"/>
      <c r="AA29" s="43"/>
      <c r="AB29" s="43"/>
      <c r="AC29" s="43"/>
      <c r="AD29" s="43"/>
      <c r="AE29" s="43"/>
      <c r="AF29" s="43"/>
    </row>
    <row r="30" spans="2:39">
      <c r="B30" s="33"/>
      <c r="C30" s="117"/>
      <c r="D30" s="117"/>
      <c r="E30" s="117"/>
      <c r="F30" s="117"/>
      <c r="G30" s="97"/>
      <c r="H30" s="54"/>
      <c r="I30" s="49"/>
      <c r="K30" s="13" t="s">
        <v>12</v>
      </c>
      <c r="L30" s="20">
        <v>150</v>
      </c>
      <c r="M30" s="10" t="s">
        <v>10</v>
      </c>
      <c r="N30" s="57"/>
      <c r="O30" s="49"/>
      <c r="P30" s="13" t="s">
        <v>12</v>
      </c>
      <c r="Q30" s="20">
        <v>150</v>
      </c>
      <c r="R30" s="10" t="s">
        <v>10</v>
      </c>
      <c r="T30" s="13"/>
      <c r="U30" s="37"/>
      <c r="V30" s="37"/>
      <c r="W30" s="37"/>
      <c r="X30" s="29"/>
      <c r="Y30" s="43" t="s">
        <v>35</v>
      </c>
      <c r="Z30" s="43"/>
      <c r="AA30" s="43"/>
      <c r="AB30" s="43"/>
      <c r="AC30" s="43" t="s">
        <v>35</v>
      </c>
      <c r="AD30" s="43"/>
      <c r="AE30" s="43"/>
      <c r="AF30" s="43"/>
    </row>
    <row r="31" spans="2:39">
      <c r="B31" s="33"/>
      <c r="C31" s="117"/>
      <c r="D31" s="117"/>
      <c r="E31" s="117"/>
      <c r="F31" s="117"/>
      <c r="G31" s="97"/>
      <c r="H31" s="54"/>
      <c r="I31" s="49"/>
      <c r="K31" s="13" t="s">
        <v>36</v>
      </c>
      <c r="L31" s="20">
        <v>40</v>
      </c>
      <c r="M31" s="75" t="s">
        <v>10</v>
      </c>
      <c r="N31" s="57"/>
      <c r="O31" s="49"/>
      <c r="P31" s="13" t="s">
        <v>36</v>
      </c>
      <c r="Q31" s="20">
        <v>40</v>
      </c>
      <c r="R31" s="75" t="s">
        <v>10</v>
      </c>
      <c r="T31" s="13"/>
      <c r="U31" s="37"/>
      <c r="V31" s="37"/>
      <c r="W31" s="37"/>
      <c r="X31" s="29"/>
      <c r="Y31" s="70" t="s">
        <v>37</v>
      </c>
      <c r="Z31" s="71">
        <f>IF(L33="x",5,IF(L34="x",8))</f>
        <v>8</v>
      </c>
      <c r="AA31" s="43" t="s">
        <v>3</v>
      </c>
      <c r="AB31" s="43"/>
      <c r="AC31" s="70" t="s">
        <v>37</v>
      </c>
      <c r="AD31" s="71">
        <f>IF(Q33="x",5,IF(Q34="x",8))</f>
        <v>8</v>
      </c>
      <c r="AE31" s="43" t="s">
        <v>3</v>
      </c>
      <c r="AF31" s="43"/>
    </row>
    <row r="32" spans="2:39">
      <c r="B32" s="33"/>
      <c r="C32" s="117"/>
      <c r="D32" s="117"/>
      <c r="E32" s="117"/>
      <c r="F32" s="117"/>
      <c r="G32" s="97"/>
      <c r="H32" s="54"/>
      <c r="I32" s="49"/>
      <c r="K32" s="13"/>
      <c r="L32" s="13"/>
      <c r="M32" s="75"/>
      <c r="N32" s="76"/>
      <c r="O32" s="49"/>
      <c r="P32" s="13"/>
      <c r="Q32" s="13"/>
      <c r="R32" s="75"/>
      <c r="T32" s="13"/>
      <c r="U32" s="37"/>
      <c r="V32" s="37"/>
      <c r="W32" s="37"/>
      <c r="X32" s="29"/>
      <c r="Y32" s="70" t="s">
        <v>38</v>
      </c>
      <c r="Z32" s="71">
        <f>PI()/(1/(L30*0.001*L42)+Z28+1/L41/Z31)</f>
        <v>0.46046993128143593</v>
      </c>
      <c r="AA32" s="43" t="s">
        <v>8</v>
      </c>
      <c r="AB32" s="43"/>
      <c r="AC32" s="70" t="s">
        <v>38</v>
      </c>
      <c r="AD32" s="71">
        <f>PI()/(1/(Q30*0.001*Q42)+$AD$28+1/Q41/AD31)</f>
        <v>0.46046993128143593</v>
      </c>
      <c r="AE32" s="43" t="s">
        <v>8</v>
      </c>
      <c r="AF32" s="43"/>
    </row>
    <row r="33" spans="2:39">
      <c r="B33" s="33"/>
      <c r="C33" s="117"/>
      <c r="D33" s="117"/>
      <c r="E33" s="117"/>
      <c r="F33" s="117"/>
      <c r="G33" s="97"/>
      <c r="H33" s="54"/>
      <c r="I33" s="49"/>
      <c r="J33" s="13"/>
      <c r="K33" s="18" t="s">
        <v>39</v>
      </c>
      <c r="L33" s="77" t="s">
        <v>70</v>
      </c>
      <c r="M33" s="10" t="s">
        <v>40</v>
      </c>
      <c r="N33" s="76"/>
      <c r="O33" s="49"/>
      <c r="P33" s="18" t="s">
        <v>39</v>
      </c>
      <c r="Q33" s="77" t="s">
        <v>70</v>
      </c>
      <c r="R33" s="75" t="s">
        <v>41</v>
      </c>
      <c r="T33" s="13"/>
      <c r="U33" s="37"/>
      <c r="V33" s="37"/>
      <c r="W33" s="37"/>
      <c r="X33" s="29"/>
      <c r="Y33" s="70" t="s">
        <v>42</v>
      </c>
      <c r="Z33" s="71">
        <f>L39-1/PI()*(1/(L30*0.001*L42)+Z28)*Z32*L39</f>
        <v>0.95590520489512087</v>
      </c>
      <c r="AA33" s="43" t="s">
        <v>15</v>
      </c>
      <c r="AB33" s="43"/>
      <c r="AC33" s="70" t="s">
        <v>42</v>
      </c>
      <c r="AD33" s="71">
        <f>Q39-1/PI()*(1/(Q30*0.001*Q42)+AD28)*AD32*Q39</f>
        <v>1.3541990402680888</v>
      </c>
      <c r="AE33" s="43" t="s">
        <v>15</v>
      </c>
      <c r="AF33" s="43"/>
    </row>
    <row r="34" spans="2:39">
      <c r="B34" s="33"/>
      <c r="C34" s="117"/>
      <c r="D34" s="117"/>
      <c r="E34" s="117"/>
      <c r="F34" s="117"/>
      <c r="G34" s="97"/>
      <c r="H34" s="54"/>
      <c r="I34" s="49"/>
      <c r="L34" s="53" t="str">
        <f>IF(L33="x","","x")</f>
        <v>x</v>
      </c>
      <c r="M34" s="10" t="s">
        <v>43</v>
      </c>
      <c r="N34" s="76"/>
      <c r="O34" s="49"/>
      <c r="P34" s="13"/>
      <c r="Q34" s="53" t="str">
        <f>IF(Q33="x","","x")</f>
        <v>x</v>
      </c>
      <c r="R34" s="75" t="s">
        <v>44</v>
      </c>
      <c r="T34" s="13"/>
      <c r="U34" s="37"/>
      <c r="V34" s="37"/>
      <c r="W34" s="37"/>
      <c r="X34" s="29"/>
      <c r="Y34" s="70" t="s">
        <v>37</v>
      </c>
      <c r="Z34" s="78">
        <f>IF(L34="x",(0.85*4.8+1.62*Z33^(0.333)),IF(L33="x",(0.1*4.8+1.62*Z33^0.333)))</f>
        <v>5.6758539824007812</v>
      </c>
      <c r="AA34" s="43" t="s">
        <v>3</v>
      </c>
      <c r="AB34" s="43"/>
      <c r="AC34" s="70" t="s">
        <v>37</v>
      </c>
      <c r="AD34" s="78">
        <f>IF(Q34="x",(0.85*4.8+1.62*AD33^(0.333)),IF(Q33="x",(0.1*4.8+1.62*AD33^0.333)))</f>
        <v>5.8721125765404025</v>
      </c>
      <c r="AE34" s="43" t="s">
        <v>3</v>
      </c>
      <c r="AF34" s="43"/>
    </row>
    <row r="35" spans="2:39">
      <c r="B35" s="33"/>
      <c r="C35" s="117"/>
      <c r="D35" s="117"/>
      <c r="E35" s="117"/>
      <c r="F35" s="117"/>
      <c r="G35" s="97"/>
      <c r="H35" s="54"/>
      <c r="I35" s="49"/>
      <c r="K35" s="13"/>
      <c r="M35" s="75"/>
      <c r="N35" s="57"/>
      <c r="O35" s="49"/>
      <c r="R35" s="69"/>
      <c r="S35" s="74"/>
      <c r="T35" s="13"/>
      <c r="U35" s="37"/>
      <c r="V35" s="37"/>
      <c r="W35" s="37"/>
      <c r="X35" s="29"/>
      <c r="Y35" s="70" t="s">
        <v>38</v>
      </c>
      <c r="Z35" s="71">
        <f>PI()/(1/(L30*0.001*L42)+Z28+1/L41/Z34)</f>
        <v>0.44592448355838654</v>
      </c>
      <c r="AA35" s="43" t="s">
        <v>8</v>
      </c>
      <c r="AB35" s="43"/>
      <c r="AC35" s="70" t="s">
        <v>38</v>
      </c>
      <c r="AD35" s="71">
        <f>PI()/(1/(Q30*0.001*Q42)+$AD$28+1/Q41/AD34)</f>
        <v>0.44755089016907762</v>
      </c>
      <c r="AE35" s="43" t="s">
        <v>8</v>
      </c>
      <c r="AF35" s="43"/>
    </row>
    <row r="36" spans="2:39">
      <c r="B36" s="33"/>
      <c r="C36" s="117"/>
      <c r="D36" s="117"/>
      <c r="E36" s="117"/>
      <c r="F36" s="117"/>
      <c r="G36" s="97"/>
      <c r="H36" s="54"/>
      <c r="I36" s="49"/>
      <c r="K36" s="18" t="s">
        <v>9</v>
      </c>
      <c r="L36" s="17">
        <v>3.5999999999999997E-2</v>
      </c>
      <c r="M36" s="75" t="s">
        <v>8</v>
      </c>
      <c r="N36" s="57"/>
      <c r="O36" s="49"/>
      <c r="P36" s="18" t="s">
        <v>9</v>
      </c>
      <c r="Q36" s="17">
        <v>3.5999999999999997E-2</v>
      </c>
      <c r="R36" s="75" t="s">
        <v>8</v>
      </c>
      <c r="T36" s="13"/>
      <c r="U36" s="37"/>
      <c r="V36" s="37"/>
      <c r="W36" s="37"/>
      <c r="X36" s="29"/>
      <c r="Y36" s="70" t="s">
        <v>42</v>
      </c>
      <c r="Z36" s="71">
        <f>L39-1/PI()*(1/(L30*0.001*L42)+Z28)*Z35*L39</f>
        <v>1.3047690341652611</v>
      </c>
      <c r="AA36" s="43" t="s">
        <v>15</v>
      </c>
      <c r="AB36" s="43"/>
      <c r="AC36" s="70" t="s">
        <v>42</v>
      </c>
      <c r="AD36" s="71">
        <f>Q39-1/PI()*(1/(Q30*0.001*Q42)+$AD$28)*AD35*Q39</f>
        <v>1.7931609183478354</v>
      </c>
      <c r="AE36" s="43" t="s">
        <v>15</v>
      </c>
      <c r="AF36" s="43"/>
    </row>
    <row r="37" spans="2:39">
      <c r="B37" s="33"/>
      <c r="C37" s="117"/>
      <c r="D37" s="117"/>
      <c r="E37" s="117"/>
      <c r="F37" s="117"/>
      <c r="G37" s="97"/>
      <c r="H37" s="54"/>
      <c r="I37" s="49"/>
      <c r="K37" s="18" t="s">
        <v>45</v>
      </c>
      <c r="L37" s="79">
        <f>Lueftung_Auslegungsvolumenstrom</f>
        <v>300</v>
      </c>
      <c r="M37" s="75" t="s">
        <v>27</v>
      </c>
      <c r="N37" s="57"/>
      <c r="O37" s="49"/>
      <c r="P37" s="18" t="s">
        <v>45</v>
      </c>
      <c r="Q37" s="79">
        <f>Lueftung_Auslegungsvolumenstrom</f>
        <v>300</v>
      </c>
      <c r="R37" s="75" t="s">
        <v>27</v>
      </c>
      <c r="T37" s="13"/>
      <c r="U37" s="37"/>
      <c r="V37" s="37"/>
      <c r="W37" s="37"/>
      <c r="X37" s="29"/>
      <c r="Y37" s="70" t="s">
        <v>37</v>
      </c>
      <c r="Z37" s="78">
        <f>IF(L34="x",(0.85*4.8+1.62*Z36^(0.333)),IF(L33="x",(0.1*4.8+1.62*Z36^0.333)))</f>
        <v>5.8500588958021931</v>
      </c>
      <c r="AA37" s="43" t="s">
        <v>3</v>
      </c>
      <c r="AB37" s="43"/>
      <c r="AC37" s="70" t="s">
        <v>37</v>
      </c>
      <c r="AD37" s="78">
        <f>IF(Q34="x",(0.85*4.8+1.62*AD36^(0.333)),IF(Q33="x",(0.1*4.8+1.62*AD36^0.333)))</f>
        <v>6.0477513986583844</v>
      </c>
      <c r="AE37" s="43" t="s">
        <v>3</v>
      </c>
      <c r="AF37" s="43"/>
    </row>
    <row r="38" spans="2:39">
      <c r="B38" s="33"/>
      <c r="C38" s="117"/>
      <c r="D38" s="117"/>
      <c r="E38" s="117"/>
      <c r="F38" s="117"/>
      <c r="G38" s="97"/>
      <c r="H38" s="54"/>
      <c r="I38" s="49"/>
      <c r="K38" s="13"/>
      <c r="L38" s="13"/>
      <c r="M38" s="75"/>
      <c r="N38" s="57"/>
      <c r="O38" s="49"/>
      <c r="P38" s="13"/>
      <c r="Q38" s="13"/>
      <c r="R38" s="75"/>
      <c r="T38" s="13"/>
      <c r="U38" s="37"/>
      <c r="V38" s="37"/>
      <c r="W38" s="37"/>
      <c r="X38" s="29"/>
      <c r="Y38" s="70" t="s">
        <v>38</v>
      </c>
      <c r="Z38" s="71">
        <f>PI()/(1/(L30*0.001*L42)+Z28+1/L41/Z37)</f>
        <v>0.4473729963107394</v>
      </c>
      <c r="AA38" s="43" t="s">
        <v>8</v>
      </c>
      <c r="AB38" s="43"/>
      <c r="AC38" s="70" t="s">
        <v>38</v>
      </c>
      <c r="AD38" s="71">
        <f>PI()/(1/(Q30*0.001*Q42)+$AD$28+1/Q41/AD37)</f>
        <v>0.448926108944605</v>
      </c>
      <c r="AE38" s="43" t="s">
        <v>8</v>
      </c>
      <c r="AF38" s="43"/>
    </row>
    <row r="39" spans="2:39">
      <c r="B39" s="33"/>
      <c r="C39" s="117"/>
      <c r="D39" s="117"/>
      <c r="E39" s="117"/>
      <c r="F39" s="117"/>
      <c r="G39" s="97"/>
      <c r="H39" s="54"/>
      <c r="I39" s="49"/>
      <c r="K39" s="80" t="s">
        <v>46</v>
      </c>
      <c r="L39" s="20">
        <v>12</v>
      </c>
      <c r="M39" s="75" t="s">
        <v>15</v>
      </c>
      <c r="N39" s="57"/>
      <c r="O39" s="49"/>
      <c r="P39" s="80" t="s">
        <v>46</v>
      </c>
      <c r="Q39" s="79">
        <f>L39+N26</f>
        <v>17</v>
      </c>
      <c r="R39" s="75" t="s">
        <v>15</v>
      </c>
      <c r="T39" s="13"/>
      <c r="U39" s="37"/>
      <c r="V39" s="37"/>
      <c r="W39" s="37"/>
      <c r="X39" s="29"/>
      <c r="Y39" s="70" t="s">
        <v>42</v>
      </c>
      <c r="Z39" s="71">
        <f>L39-1/PI()*(1/(L30*0.001*L42)+Z28)*Z38*L39</f>
        <v>1.2700273256146417</v>
      </c>
      <c r="AA39" s="43" t="s">
        <v>15</v>
      </c>
      <c r="AB39" s="43"/>
      <c r="AC39" s="70" t="s">
        <v>42</v>
      </c>
      <c r="AD39" s="71">
        <f>Q39-1/PI()*(1/(Q30*0.001*Q42)+$AD$28)*AD38*Q39</f>
        <v>1.7464338732656319</v>
      </c>
      <c r="AE39" s="43" t="s">
        <v>15</v>
      </c>
      <c r="AF39" s="43"/>
    </row>
    <row r="40" spans="2:39">
      <c r="B40" s="33"/>
      <c r="C40" s="117"/>
      <c r="D40" s="117"/>
      <c r="E40" s="117"/>
      <c r="F40" s="117"/>
      <c r="G40" s="97"/>
      <c r="H40" s="54"/>
      <c r="I40" s="49"/>
      <c r="K40" s="16" t="s">
        <v>47</v>
      </c>
      <c r="L40" s="14">
        <f>L30/1000</f>
        <v>0.15</v>
      </c>
      <c r="M40" s="75" t="s">
        <v>5</v>
      </c>
      <c r="N40" s="57"/>
      <c r="O40" s="49"/>
      <c r="P40" s="16" t="s">
        <v>47</v>
      </c>
      <c r="Q40" s="14">
        <f>Q30/1000</f>
        <v>0.15</v>
      </c>
      <c r="R40" s="75" t="s">
        <v>5</v>
      </c>
      <c r="T40" s="13"/>
      <c r="U40" s="37"/>
      <c r="V40" s="37"/>
      <c r="W40" s="37"/>
      <c r="X40" s="29"/>
      <c r="Y40" s="70" t="s">
        <v>37</v>
      </c>
      <c r="Z40" s="78">
        <f>IF(L34="x",(0.85*4.8+1.62*Z39^(0.333)),IF(L33="x",(0.1*4.8+1.62*Z39^0.333)))</f>
        <v>5.8342228563118592</v>
      </c>
      <c r="AA40" s="43" t="s">
        <v>3</v>
      </c>
      <c r="AB40" s="43"/>
      <c r="AC40" s="70" t="s">
        <v>37</v>
      </c>
      <c r="AD40" s="78">
        <f>IF(Q34="x",(0.85*4.8+1.62*AD39^(0.333)),IF(Q33="x",(0.1*4.8+1.62*AD39^0.333)))</f>
        <v>6.0305257103827241</v>
      </c>
      <c r="AE40" s="43" t="s">
        <v>3</v>
      </c>
      <c r="AF40" s="43"/>
    </row>
    <row r="41" spans="2:39">
      <c r="B41" s="33"/>
      <c r="C41" s="117"/>
      <c r="D41" s="117"/>
      <c r="E41" s="117"/>
      <c r="F41" s="117"/>
      <c r="G41" s="97"/>
      <c r="H41" s="54"/>
      <c r="I41" s="49"/>
      <c r="K41" s="16" t="s">
        <v>48</v>
      </c>
      <c r="L41" s="14">
        <f>L40+2*L31/1000</f>
        <v>0.22999999999999998</v>
      </c>
      <c r="M41" s="75" t="s">
        <v>5</v>
      </c>
      <c r="N41" s="57"/>
      <c r="O41" s="49"/>
      <c r="P41" s="16" t="s">
        <v>48</v>
      </c>
      <c r="Q41" s="14">
        <f>Q40+2*Q31/1000</f>
        <v>0.22999999999999998</v>
      </c>
      <c r="R41" s="75" t="s">
        <v>5</v>
      </c>
      <c r="T41" s="13"/>
      <c r="U41" s="37"/>
      <c r="V41" s="37"/>
      <c r="W41" s="37"/>
      <c r="X41" s="29"/>
      <c r="Y41" s="70" t="s">
        <v>38</v>
      </c>
      <c r="Z41" s="71">
        <f>PI()/(1/(L30*0.001*L42)+Z28+1/L41/Z40)</f>
        <v>0.44724451486824435</v>
      </c>
      <c r="AA41" s="43" t="s">
        <v>8</v>
      </c>
      <c r="AB41" s="43"/>
      <c r="AC41" s="70" t="s">
        <v>38</v>
      </c>
      <c r="AD41" s="71">
        <f>PI()/(1/(Q30*0.001*Q42)+$AD$28+1/Q41/AD40)</f>
        <v>0.44879441309841855</v>
      </c>
      <c r="AE41" s="43" t="s">
        <v>8</v>
      </c>
      <c r="AF41" s="43"/>
    </row>
    <row r="42" spans="2:39">
      <c r="B42" s="33"/>
      <c r="C42" s="117"/>
      <c r="D42" s="117"/>
      <c r="E42" s="117"/>
      <c r="F42" s="117"/>
      <c r="G42" s="97"/>
      <c r="H42" s="54"/>
      <c r="I42" s="49"/>
      <c r="K42" s="80" t="s">
        <v>49</v>
      </c>
      <c r="L42" s="81">
        <f>IF(ISNUMBER(Z52),IF(L30=0,0,Z52*24.915*0.001/(L30*0.001)),"")</f>
        <v>19.4716173648373</v>
      </c>
      <c r="M42" s="75" t="s">
        <v>3</v>
      </c>
      <c r="N42" s="57"/>
      <c r="O42" s="49"/>
      <c r="P42" s="80" t="s">
        <v>49</v>
      </c>
      <c r="Q42" s="81">
        <f>IF(ISNUMBER(AD52),IF(Q30=0,0,AD52*24.915*0.001/(Q30*0.001)),"")</f>
        <v>19.4716173648373</v>
      </c>
      <c r="R42" s="75" t="s">
        <v>3</v>
      </c>
      <c r="T42" s="13"/>
      <c r="U42" s="37"/>
      <c r="V42" s="37"/>
      <c r="W42" s="37"/>
      <c r="X42" s="29"/>
      <c r="Y42" s="70" t="s">
        <v>42</v>
      </c>
      <c r="Z42" s="71">
        <f>L39-1/PI()*(1/(L30*0.001*L42)+Z28)*Z41*L39</f>
        <v>1.2731088758613165</v>
      </c>
      <c r="AA42" s="43" t="s">
        <v>15</v>
      </c>
      <c r="AB42" s="43"/>
      <c r="AC42" s="70" t="s">
        <v>42</v>
      </c>
      <c r="AD42" s="71">
        <f>Q39-1/PI()*(1/(Q30*0.001*Q42)+AD28)*AD41*Q39</f>
        <v>1.7509086214667189</v>
      </c>
      <c r="AE42" s="43" t="s">
        <v>15</v>
      </c>
      <c r="AF42" s="43"/>
    </row>
    <row r="43" spans="2:39">
      <c r="B43" s="33"/>
      <c r="C43" s="117"/>
      <c r="D43" s="117"/>
      <c r="E43" s="117"/>
      <c r="F43" s="117"/>
      <c r="G43" s="97"/>
      <c r="H43" s="54"/>
      <c r="I43" s="49"/>
      <c r="K43" s="80" t="s">
        <v>50</v>
      </c>
      <c r="L43" s="11">
        <f>IF(ISNUMBER(Z43),IF(L34="x",(0.85*4.8+1.62*Z45^(0.333)),IF(L33="x",(0.1*4.8+1.62*Z45^0.333))),"")</f>
        <v>5.8355122460825664</v>
      </c>
      <c r="M43" s="75" t="s">
        <v>3</v>
      </c>
      <c r="N43" s="57"/>
      <c r="O43" s="49"/>
      <c r="P43" s="80" t="s">
        <v>50</v>
      </c>
      <c r="Q43" s="11">
        <f>IF(ISNUMBER(AD43),IF(Q34="x",(0.85*4.8+1.62*AD45^(0.333)),IF(Q33="x",(0.1*4.8+1.62*AD45^0.333))),"")</f>
        <v>6.0320277573481373</v>
      </c>
      <c r="R43" s="75" t="s">
        <v>3</v>
      </c>
      <c r="T43" s="13"/>
      <c r="U43" s="37"/>
      <c r="V43" s="37"/>
      <c r="W43" s="37"/>
      <c r="X43" s="29"/>
      <c r="Y43" s="70" t="s">
        <v>37</v>
      </c>
      <c r="Z43" s="78">
        <f>IF(L34="x",(0.85*4.8+1.62*Z42^(0.333)),IF(L33="x",(0.1*4.8+1.62*Z42^0.333)))</f>
        <v>5.8356390872917601</v>
      </c>
      <c r="AA43" s="43" t="s">
        <v>3</v>
      </c>
      <c r="AB43" s="43"/>
      <c r="AC43" s="70" t="s">
        <v>37</v>
      </c>
      <c r="AD43" s="78">
        <f>IF(Q34="x",(0.85*4.8+1.62*AD42^(0.333)),IF(Q33="x",(0.1*4.8+1.62*AD42^0.333)))</f>
        <v>6.0321885165747267</v>
      </c>
      <c r="AE43" s="43" t="s">
        <v>3</v>
      </c>
      <c r="AF43" s="43"/>
    </row>
    <row r="44" spans="2:39">
      <c r="B44" s="33"/>
      <c r="C44" s="117"/>
      <c r="D44" s="117"/>
      <c r="E44" s="117"/>
      <c r="F44" s="117"/>
      <c r="G44" s="97"/>
      <c r="H44" s="54"/>
      <c r="I44" s="82"/>
      <c r="J44" s="7"/>
      <c r="K44" s="112" t="s">
        <v>83</v>
      </c>
      <c r="L44" s="7">
        <f>IF(ISNUMBER(Z44),PI()/(1/(L30*0.001*L42)+Z28+1/L41/L43),"")</f>
        <v>0.44725499929618812</v>
      </c>
      <c r="M44" s="6" t="s">
        <v>0</v>
      </c>
      <c r="N44" s="57"/>
      <c r="O44" s="82"/>
      <c r="P44" s="112" t="s">
        <v>83</v>
      </c>
      <c r="Q44" s="7">
        <f>IF(ISNUMBER(AD44),PI()/(1/(Q30*0.001*Q42)+AD28+1/Q41/Q43),"")</f>
        <v>0.44880592357540916</v>
      </c>
      <c r="R44" s="6" t="s">
        <v>0</v>
      </c>
      <c r="T44" s="13"/>
      <c r="U44" s="37"/>
      <c r="V44" s="37"/>
      <c r="W44" s="37"/>
      <c r="X44" s="29"/>
      <c r="Y44" s="70" t="s">
        <v>38</v>
      </c>
      <c r="Z44" s="71">
        <f>PI()/(1/(L30*0.001*L42)+Z28+1/L41/Z43)</f>
        <v>0.44725603045762785</v>
      </c>
      <c r="AA44" s="43" t="s">
        <v>8</v>
      </c>
      <c r="AB44" s="43"/>
      <c r="AC44" s="70" t="s">
        <v>38</v>
      </c>
      <c r="AD44" s="71">
        <f>PI()/(1/(Q30*0.001*Q42)+AD28+1/Q41/AD43)</f>
        <v>0.44880715519989639</v>
      </c>
      <c r="AE44" s="43" t="s">
        <v>8</v>
      </c>
      <c r="AF44" s="43"/>
    </row>
    <row r="45" spans="2:39">
      <c r="B45" s="33"/>
      <c r="C45" s="117"/>
      <c r="D45" s="117"/>
      <c r="E45" s="117"/>
      <c r="F45" s="117"/>
      <c r="G45" s="97"/>
      <c r="H45" s="54"/>
      <c r="I45" s="50"/>
      <c r="J45" s="83"/>
      <c r="K45" s="84" t="s">
        <v>51</v>
      </c>
      <c r="L45" s="85">
        <f>IF(ISNUMBER(Z45),L39-1/PI()*(1/(L30*0.001*L42)+Z28)*L44*L39,"")</f>
        <v>1.2728574131528596</v>
      </c>
      <c r="M45" s="64" t="s">
        <v>15</v>
      </c>
      <c r="N45" s="57"/>
      <c r="O45" s="50"/>
      <c r="P45" s="84" t="s">
        <v>51</v>
      </c>
      <c r="Q45" s="85">
        <f>IF(ISNUMBER(AD45),Q39-1/PI()*(1/(Q30*0.001*Q42)+AD28)*Q44*Q39,"")</f>
        <v>1.750517519638537</v>
      </c>
      <c r="R45" s="64" t="s">
        <v>15</v>
      </c>
      <c r="T45" s="13"/>
      <c r="U45" s="37"/>
      <c r="V45" s="37"/>
      <c r="W45" s="37"/>
      <c r="X45" s="29"/>
      <c r="Y45" s="70" t="s">
        <v>42</v>
      </c>
      <c r="Z45" s="71">
        <f>L39-1/PI()*(1/(L30*0.001*L42)+Z28)*Z44*L39</f>
        <v>1.2728326813649282</v>
      </c>
      <c r="AA45" s="43" t="s">
        <v>15</v>
      </c>
      <c r="AB45" s="43"/>
      <c r="AC45" s="70" t="s">
        <v>42</v>
      </c>
      <c r="AD45" s="71">
        <f>Q39-1/PI()*(1/(Q30*0.001*Q42)+AD28)*AD44*Q39</f>
        <v>1.7504756716257237</v>
      </c>
      <c r="AE45" s="43" t="s">
        <v>15</v>
      </c>
      <c r="AF45" s="43"/>
    </row>
    <row r="46" spans="2:39" ht="13.5" thickBot="1">
      <c r="B46" s="33"/>
      <c r="C46" s="117"/>
      <c r="D46" s="117"/>
      <c r="E46" s="117"/>
      <c r="F46" s="117"/>
      <c r="G46" s="97"/>
      <c r="H46" s="54"/>
      <c r="N46" s="57"/>
      <c r="T46" s="13"/>
      <c r="U46" s="37"/>
      <c r="V46" s="37"/>
      <c r="W46" s="37"/>
      <c r="X46" s="29"/>
      <c r="Y46" s="70"/>
      <c r="Z46" s="71"/>
      <c r="AA46" s="43"/>
      <c r="AB46" s="43"/>
      <c r="AC46" s="43"/>
      <c r="AD46" s="43"/>
      <c r="AE46" s="43"/>
      <c r="AF46" s="43"/>
    </row>
    <row r="47" spans="2:39" ht="24" customHeight="1">
      <c r="B47" s="33"/>
      <c r="C47" s="98"/>
      <c r="D47" s="127"/>
      <c r="E47" s="127"/>
      <c r="F47" s="127"/>
      <c r="G47" s="127"/>
      <c r="H47" s="94" t="s">
        <v>92</v>
      </c>
      <c r="I47" s="40"/>
      <c r="J47" s="40"/>
      <c r="K47" s="40"/>
      <c r="L47" s="40"/>
      <c r="M47" s="40"/>
      <c r="N47" s="41"/>
      <c r="O47" s="40"/>
      <c r="P47" s="40"/>
      <c r="Q47" s="40"/>
      <c r="R47" s="40"/>
      <c r="S47" s="40"/>
      <c r="T47" s="40"/>
      <c r="U47" s="40"/>
      <c r="V47" s="40"/>
      <c r="W47" s="41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1"/>
      <c r="AJ47" s="40"/>
      <c r="AK47" s="40"/>
      <c r="AL47" s="40"/>
      <c r="AM47" s="40"/>
    </row>
    <row r="48" spans="2:39" ht="2.4500000000000002" customHeight="1" thickBot="1">
      <c r="B48" s="33"/>
      <c r="C48" s="98"/>
      <c r="D48" s="98"/>
      <c r="E48" s="98"/>
      <c r="F48" s="98"/>
      <c r="G48" s="98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  <row r="49" spans="2:32">
      <c r="B49" s="33"/>
      <c r="C49" s="98"/>
      <c r="D49" s="98"/>
      <c r="E49" s="97"/>
      <c r="F49" s="128"/>
      <c r="G49" s="97"/>
      <c r="H49" s="54"/>
      <c r="I49" s="54"/>
      <c r="J49" s="54"/>
      <c r="K49" s="55"/>
      <c r="L49" s="56"/>
      <c r="M49" s="56"/>
      <c r="N49" s="57"/>
      <c r="T49" s="13"/>
      <c r="U49" s="37"/>
      <c r="V49" s="37"/>
      <c r="W49" s="37"/>
      <c r="X49" s="29"/>
      <c r="Y49" s="43" t="s">
        <v>52</v>
      </c>
      <c r="Z49" s="43"/>
      <c r="AA49" s="43"/>
      <c r="AB49" s="43"/>
      <c r="AC49" s="43" t="s">
        <v>52</v>
      </c>
      <c r="AD49" s="43"/>
      <c r="AE49" s="43"/>
      <c r="AF49" s="43"/>
    </row>
    <row r="50" spans="2:32" ht="15.75">
      <c r="B50" s="33"/>
      <c r="C50" s="98"/>
      <c r="D50" s="98"/>
      <c r="E50" s="97"/>
      <c r="F50" s="128"/>
      <c r="G50" s="97"/>
      <c r="H50" s="54"/>
      <c r="I50" s="25"/>
      <c r="J50" s="24"/>
      <c r="K50" s="24"/>
      <c r="L50" s="24"/>
      <c r="M50" s="96"/>
      <c r="N50" s="114"/>
      <c r="O50" s="24"/>
      <c r="P50" s="24"/>
      <c r="Q50" s="24"/>
      <c r="R50" s="96"/>
      <c r="T50" s="13"/>
      <c r="U50" s="37"/>
      <c r="V50" s="37"/>
      <c r="W50" s="37"/>
      <c r="X50" s="29"/>
      <c r="Y50" s="43" t="s">
        <v>53</v>
      </c>
      <c r="Z50" s="71">
        <f>4*L37/(((L30*0.001)^2*PI())*3600)</f>
        <v>4.7157020175376392</v>
      </c>
      <c r="AA50" s="43" t="s">
        <v>54</v>
      </c>
      <c r="AB50" s="43"/>
      <c r="AC50" s="43" t="s">
        <v>53</v>
      </c>
      <c r="AD50" s="86">
        <f>4*Q37/(((Q30*0.001)^2*PI())*3600)</f>
        <v>4.7157020175376392</v>
      </c>
      <c r="AE50" s="43" t="s">
        <v>54</v>
      </c>
      <c r="AF50" s="43"/>
    </row>
    <row r="51" spans="2:32">
      <c r="H51" s="54"/>
      <c r="I51" s="23"/>
      <c r="J51" s="22"/>
      <c r="K51" s="22"/>
      <c r="L51" s="22"/>
      <c r="M51" s="66"/>
      <c r="N51" s="113"/>
      <c r="O51" s="63"/>
      <c r="P51" s="21"/>
      <c r="Q51" s="115"/>
      <c r="R51" s="69"/>
      <c r="X51" s="29"/>
      <c r="Y51" s="43" t="s">
        <v>55</v>
      </c>
      <c r="Z51" s="88">
        <f>Z50*L30*0.001/0.00001384</f>
        <v>51109.48718429522</v>
      </c>
      <c r="AA51" s="43" t="s">
        <v>56</v>
      </c>
      <c r="AB51" s="43"/>
      <c r="AC51" s="43" t="s">
        <v>55</v>
      </c>
      <c r="AD51" s="88">
        <f>AD50*Q30*0.001/0.00001384</f>
        <v>51109.48718429522</v>
      </c>
      <c r="AE51" s="43" t="s">
        <v>56</v>
      </c>
      <c r="AF51" s="43"/>
    </row>
    <row r="52" spans="2:32">
      <c r="I52" s="19"/>
      <c r="J52" s="97"/>
      <c r="K52" s="103" t="s">
        <v>12</v>
      </c>
      <c r="L52" s="48">
        <f>Lueftung_Nebenrechnung_Aussenluft_Nennweite</f>
        <v>150</v>
      </c>
      <c r="M52" s="10" t="s">
        <v>10</v>
      </c>
      <c r="N52" s="113"/>
      <c r="O52" s="49"/>
      <c r="P52" s="99" t="s">
        <v>12</v>
      </c>
      <c r="Q52" s="48">
        <f>Lueftung_Nebenrechnung_Fortluft_Nennweite</f>
        <v>150</v>
      </c>
      <c r="R52" s="10" t="s">
        <v>10</v>
      </c>
      <c r="X52" s="29"/>
      <c r="Y52" s="43" t="s">
        <v>57</v>
      </c>
      <c r="Z52" s="43">
        <f>0.023*Z51^0.8*0.71^0.4</f>
        <v>117.22828034218722</v>
      </c>
      <c r="AA52" s="43" t="s">
        <v>56</v>
      </c>
      <c r="AB52" s="43"/>
      <c r="AC52" s="43" t="s">
        <v>57</v>
      </c>
      <c r="AD52" s="88">
        <f>0.023*AD51^0.8*0.71^0.4</f>
        <v>117.22828034218722</v>
      </c>
      <c r="AE52" s="43" t="s">
        <v>56</v>
      </c>
      <c r="AF52" s="43"/>
    </row>
    <row r="53" spans="2:32">
      <c r="I53" s="19"/>
      <c r="J53" s="97"/>
      <c r="K53" s="103" t="s">
        <v>11</v>
      </c>
      <c r="L53" s="48">
        <f>Lueftung_Nebenrechnung_Aussenluft_Daemmdicke</f>
        <v>40</v>
      </c>
      <c r="M53" s="10" t="s">
        <v>10</v>
      </c>
      <c r="N53" s="113"/>
      <c r="O53" s="49"/>
      <c r="P53" s="99" t="s">
        <v>11</v>
      </c>
      <c r="Q53" s="48">
        <f>Lueftung_Nebenrechnung_Fortluft_Daemmdicke</f>
        <v>40</v>
      </c>
      <c r="R53" s="10" t="s">
        <v>10</v>
      </c>
      <c r="X53" s="29"/>
      <c r="Y53" s="29"/>
      <c r="Z53" s="29"/>
      <c r="AA53" s="29"/>
      <c r="AB53" s="43"/>
      <c r="AC53" s="43"/>
      <c r="AD53" s="43"/>
      <c r="AE53" s="43"/>
      <c r="AF53" s="43"/>
    </row>
    <row r="54" spans="2:32" ht="12.6" customHeight="1">
      <c r="I54" s="19"/>
      <c r="J54" s="99"/>
      <c r="K54" s="103" t="s">
        <v>9</v>
      </c>
      <c r="L54" s="125">
        <f>Lueftung_Nebenrechnung_Aussenluft_Waermeleitfaehigkeit</f>
        <v>3.5999999999999997E-2</v>
      </c>
      <c r="M54" s="10" t="s">
        <v>8</v>
      </c>
      <c r="N54" s="113"/>
      <c r="O54" s="49"/>
      <c r="P54" s="99" t="s">
        <v>9</v>
      </c>
      <c r="Q54" s="125">
        <f>Lueftung_Nebenrechnung_Fortluft_Waermeleitfaehigkeit</f>
        <v>3.5999999999999997E-2</v>
      </c>
      <c r="R54" s="10" t="s">
        <v>8</v>
      </c>
      <c r="X54" s="29"/>
      <c r="Y54" s="43"/>
      <c r="Z54" s="43"/>
      <c r="AA54" s="43"/>
      <c r="AB54" s="43"/>
      <c r="AC54" s="43"/>
      <c r="AD54" s="43"/>
      <c r="AE54" s="43"/>
      <c r="AF54" s="43"/>
    </row>
    <row r="55" spans="2:32">
      <c r="I55" s="12"/>
      <c r="J55" s="100"/>
      <c r="K55" s="104" t="s">
        <v>7</v>
      </c>
      <c r="L55" s="101">
        <f>L52/1000</f>
        <v>0.15</v>
      </c>
      <c r="M55" s="10" t="s">
        <v>5</v>
      </c>
      <c r="N55" s="113"/>
      <c r="O55" s="49"/>
      <c r="P55" s="100" t="s">
        <v>7</v>
      </c>
      <c r="Q55" s="101">
        <f>Q52/1000</f>
        <v>0.15</v>
      </c>
      <c r="R55" s="10" t="s">
        <v>5</v>
      </c>
      <c r="X55" s="29"/>
      <c r="Y55" s="43"/>
      <c r="Z55" s="43"/>
      <c r="AA55" s="43"/>
      <c r="AB55" s="43"/>
      <c r="AC55" s="43"/>
      <c r="AD55" s="43"/>
      <c r="AE55" s="43"/>
      <c r="AF55" s="43"/>
    </row>
    <row r="56" spans="2:32">
      <c r="I56" s="12"/>
      <c r="J56" s="100"/>
      <c r="K56" s="104" t="s">
        <v>6</v>
      </c>
      <c r="L56" s="101">
        <f>L55+2*L53/1000</f>
        <v>0.22999999999999998</v>
      </c>
      <c r="M56" s="10" t="s">
        <v>5</v>
      </c>
      <c r="N56" s="113"/>
      <c r="O56" s="49"/>
      <c r="P56" s="100" t="s">
        <v>6</v>
      </c>
      <c r="Q56" s="101">
        <f>Q55+2*Q53/1000</f>
        <v>0.22999999999999998</v>
      </c>
      <c r="R56" s="10" t="s">
        <v>5</v>
      </c>
      <c r="X56" s="29"/>
      <c r="Y56" s="29"/>
      <c r="Z56" s="29"/>
      <c r="AA56" s="29"/>
      <c r="AB56" s="43"/>
      <c r="AC56" s="43" t="s">
        <v>58</v>
      </c>
      <c r="AD56" s="43"/>
      <c r="AE56" s="43"/>
      <c r="AF56" s="43"/>
    </row>
    <row r="57" spans="2:32">
      <c r="I57" s="15"/>
      <c r="J57" s="100"/>
      <c r="K57" s="105" t="s">
        <v>4</v>
      </c>
      <c r="L57" s="102">
        <v>6.8</v>
      </c>
      <c r="M57" s="10" t="s">
        <v>3</v>
      </c>
      <c r="N57" s="113"/>
      <c r="O57" s="49"/>
      <c r="P57" s="105" t="s">
        <v>4</v>
      </c>
      <c r="Q57" s="102">
        <v>6.8</v>
      </c>
      <c r="R57" s="10" t="s">
        <v>3</v>
      </c>
      <c r="X57" s="29"/>
      <c r="Y57" s="29"/>
      <c r="Z57" s="29"/>
      <c r="AA57" s="29"/>
      <c r="AB57" s="43"/>
      <c r="AC57" s="43"/>
      <c r="AD57" s="43" t="s">
        <v>59</v>
      </c>
      <c r="AE57" s="43"/>
      <c r="AF57" s="43"/>
    </row>
    <row r="58" spans="2:32">
      <c r="I58" s="15"/>
      <c r="J58" s="97"/>
      <c r="K58" s="105" t="s">
        <v>1</v>
      </c>
      <c r="L58" s="101">
        <f>IF(ISNUMBER(L57),PI()/(1/L55/6.11+1/2/L54*LN(L56/L55)+1/L56/L57),"")</f>
        <v>0.40974359090701373</v>
      </c>
      <c r="M58" s="10"/>
      <c r="N58" s="113"/>
      <c r="O58" s="49"/>
      <c r="P58" s="105" t="s">
        <v>1</v>
      </c>
      <c r="Q58" s="101">
        <f>IF(ISNUMBER(Q57),PI()/(1/Q55/6.11+1/2/Q54*LN(Q56/Q55)+1/Q56/Q57),"")</f>
        <v>0.40974359090701373</v>
      </c>
      <c r="R58" s="10"/>
      <c r="X58" s="29"/>
      <c r="Y58" s="29"/>
      <c r="Z58" s="29"/>
      <c r="AA58" s="29"/>
      <c r="AB58" s="43"/>
      <c r="AC58" s="43" t="s">
        <v>60</v>
      </c>
      <c r="AD58" s="43" t="s">
        <v>61</v>
      </c>
      <c r="AE58" s="89"/>
      <c r="AF58" s="43"/>
    </row>
    <row r="59" spans="2:32">
      <c r="I59" s="12"/>
      <c r="J59" s="98"/>
      <c r="K59" s="100" t="s">
        <v>2</v>
      </c>
      <c r="L59" s="145">
        <v>0.5</v>
      </c>
      <c r="M59" s="69"/>
      <c r="N59" s="113"/>
      <c r="O59" s="74"/>
      <c r="P59" s="100" t="s">
        <v>2</v>
      </c>
      <c r="Q59" s="145">
        <v>0.5</v>
      </c>
      <c r="R59" s="69"/>
      <c r="X59" s="29"/>
      <c r="Y59" s="29"/>
      <c r="Z59" s="29"/>
      <c r="AA59" s="29"/>
      <c r="AB59" s="43"/>
      <c r="AC59" s="43"/>
      <c r="AD59" s="43" t="s">
        <v>62</v>
      </c>
      <c r="AE59" s="43"/>
      <c r="AF59" s="43"/>
    </row>
    <row r="60" spans="2:32">
      <c r="I60" s="9"/>
      <c r="J60" s="8"/>
      <c r="K60" s="112" t="s">
        <v>84</v>
      </c>
      <c r="L60" s="7">
        <f>IF(ISNUMBER(L58),L58*L59,"")</f>
        <v>0.20487179545350687</v>
      </c>
      <c r="M60" s="6" t="s">
        <v>0</v>
      </c>
      <c r="N60" s="113"/>
      <c r="O60" s="106"/>
      <c r="P60" s="112" t="s">
        <v>84</v>
      </c>
      <c r="Q60" s="7">
        <f>IF(ISNUMBER(Q58),Q58*Q59,"")</f>
        <v>0.20487179545350687</v>
      </c>
      <c r="R60" s="6" t="s">
        <v>0</v>
      </c>
      <c r="X60" s="29"/>
      <c r="Y60" s="29"/>
      <c r="Z60" s="29"/>
      <c r="AA60" s="29"/>
      <c r="AB60" s="43"/>
      <c r="AC60" s="43"/>
      <c r="AD60" s="43" t="s">
        <v>63</v>
      </c>
      <c r="AE60" s="43"/>
      <c r="AF60" s="43"/>
    </row>
    <row r="61" spans="2:32" ht="16.5" customHeight="1">
      <c r="I61" s="5"/>
      <c r="J61" s="4"/>
      <c r="K61" s="4"/>
      <c r="L61" s="4"/>
      <c r="M61" s="3"/>
      <c r="N61" s="113"/>
      <c r="O61" s="5"/>
      <c r="P61" s="4"/>
      <c r="Q61" s="4"/>
      <c r="R61" s="107"/>
      <c r="X61" s="29"/>
      <c r="Y61" s="29"/>
      <c r="Z61" s="29"/>
      <c r="AA61" s="29"/>
      <c r="AB61" s="43"/>
      <c r="AC61" s="43"/>
      <c r="AD61" s="43" t="s">
        <v>64</v>
      </c>
      <c r="AE61" s="43"/>
      <c r="AF61" s="43"/>
    </row>
    <row r="62" spans="2:32" ht="16.5" customHeight="1" thickBot="1">
      <c r="X62" s="29"/>
      <c r="Y62" s="29"/>
      <c r="Z62" s="29"/>
      <c r="AA62" s="29"/>
      <c r="AB62" s="29"/>
      <c r="AC62" s="43" t="s">
        <v>65</v>
      </c>
      <c r="AD62" s="43" t="s">
        <v>61</v>
      </c>
      <c r="AE62" s="43"/>
      <c r="AF62" s="43"/>
    </row>
    <row r="63" spans="2:32" ht="16.5" hidden="1" customHeight="1">
      <c r="X63" s="29"/>
      <c r="Y63" s="29"/>
      <c r="Z63" s="29"/>
      <c r="AA63" s="29"/>
      <c r="AB63" s="29"/>
      <c r="AC63" s="43"/>
      <c r="AD63" s="43" t="s">
        <v>66</v>
      </c>
      <c r="AE63" s="43"/>
      <c r="AF63" s="43"/>
    </row>
    <row r="64" spans="2:32" ht="16.5" hidden="1" customHeight="1">
      <c r="X64" s="29"/>
      <c r="Y64" s="29"/>
      <c r="Z64" s="29"/>
      <c r="AA64" s="29"/>
      <c r="AB64" s="29"/>
      <c r="AC64" s="43"/>
      <c r="AD64" s="43" t="s">
        <v>67</v>
      </c>
      <c r="AE64" s="43"/>
      <c r="AF64" s="43"/>
    </row>
    <row r="65" spans="1:32" ht="24" customHeight="1" thickBot="1">
      <c r="H65" s="129" t="s">
        <v>88</v>
      </c>
      <c r="I65" s="130"/>
      <c r="J65" s="130"/>
      <c r="K65" s="130"/>
      <c r="L65" s="130"/>
      <c r="M65" s="130"/>
      <c r="N65" s="131"/>
      <c r="O65" s="130"/>
      <c r="P65" s="130"/>
      <c r="Q65" s="130"/>
      <c r="R65" s="130"/>
      <c r="S65" s="130"/>
      <c r="T65" s="130"/>
      <c r="U65" s="130"/>
      <c r="V65" s="130"/>
      <c r="W65" s="131"/>
      <c r="X65" s="130"/>
      <c r="Y65" s="29"/>
      <c r="Z65" s="29"/>
      <c r="AA65" s="29"/>
      <c r="AB65" s="29"/>
      <c r="AC65" s="43"/>
      <c r="AD65" s="43" t="s">
        <v>68</v>
      </c>
      <c r="AE65" s="43"/>
      <c r="AF65" s="43"/>
    </row>
    <row r="66" spans="1:32" ht="13.5">
      <c r="H66" s="90"/>
      <c r="I66" s="93"/>
      <c r="J66" s="90"/>
      <c r="K66"/>
      <c r="L66"/>
      <c r="M66" s="1"/>
      <c r="N66"/>
      <c r="O66"/>
      <c r="P66"/>
      <c r="Q66"/>
    </row>
    <row r="67" spans="1:32" s="62" customFormat="1" ht="15.75">
      <c r="A67" s="133"/>
      <c r="B67" s="133"/>
      <c r="F67" s="134"/>
      <c r="I67" s="135"/>
      <c r="J67" s="136"/>
      <c r="K67" s="137" t="s">
        <v>89</v>
      </c>
      <c r="L67" s="138">
        <f>L44*$L$17+L60*(1-$L$17)</f>
        <v>0.2634477363821548</v>
      </c>
      <c r="M67" s="139" t="s">
        <v>0</v>
      </c>
      <c r="N67" s="140"/>
      <c r="O67" s="141"/>
      <c r="P67" s="137" t="s">
        <v>90</v>
      </c>
      <c r="Q67" s="138">
        <f>Q44*$L$17+Q60*(1-$L$17)</f>
        <v>0.2638225430829666</v>
      </c>
      <c r="R67" s="139" t="s">
        <v>0</v>
      </c>
      <c r="U67" s="142"/>
      <c r="V67" s="142"/>
      <c r="W67" s="142"/>
    </row>
    <row r="68" spans="1:32">
      <c r="I68"/>
      <c r="J68"/>
      <c r="K68"/>
      <c r="L68"/>
      <c r="M68" s="1"/>
      <c r="N68"/>
      <c r="O68"/>
      <c r="P68"/>
      <c r="Q68"/>
    </row>
    <row r="69" spans="1:32">
      <c r="I69"/>
      <c r="J69"/>
      <c r="K69"/>
      <c r="L69"/>
      <c r="M69" s="1"/>
      <c r="N69"/>
      <c r="O69"/>
      <c r="P69"/>
      <c r="Q69"/>
    </row>
    <row r="70" spans="1:32">
      <c r="I70"/>
      <c r="J70"/>
      <c r="K70"/>
      <c r="L70"/>
      <c r="M70"/>
      <c r="N70"/>
      <c r="O70"/>
      <c r="P70"/>
      <c r="Q70"/>
    </row>
    <row r="71" spans="1:32">
      <c r="I71"/>
      <c r="J71"/>
      <c r="K71"/>
      <c r="L71"/>
      <c r="M71"/>
      <c r="N71"/>
      <c r="O71"/>
      <c r="P71"/>
      <c r="Q71"/>
    </row>
    <row r="72" spans="1:32">
      <c r="I72"/>
      <c r="J72"/>
      <c r="K72"/>
      <c r="L72"/>
      <c r="M72"/>
      <c r="N72"/>
      <c r="O72"/>
      <c r="P72"/>
      <c r="Q72"/>
    </row>
    <row r="73" spans="1:32">
      <c r="I73"/>
      <c r="J73"/>
      <c r="K73"/>
      <c r="L73"/>
      <c r="M73"/>
      <c r="N73"/>
      <c r="O73"/>
      <c r="P73"/>
      <c r="Q73"/>
    </row>
    <row r="74" spans="1:32">
      <c r="I74"/>
      <c r="J74"/>
      <c r="K74"/>
      <c r="L74"/>
      <c r="M74"/>
      <c r="N74"/>
      <c r="O74"/>
      <c r="P74" s="91"/>
      <c r="Q74"/>
    </row>
    <row r="75" spans="1:32">
      <c r="I75"/>
      <c r="J75"/>
      <c r="K75"/>
      <c r="L75"/>
      <c r="M75"/>
      <c r="N75"/>
      <c r="O75"/>
    </row>
    <row r="76" spans="1:32">
      <c r="I76"/>
      <c r="J76"/>
      <c r="K76"/>
      <c r="L76"/>
      <c r="M76"/>
      <c r="N76"/>
      <c r="O76"/>
    </row>
    <row r="77" spans="1:32">
      <c r="I77"/>
      <c r="J77"/>
      <c r="K77"/>
      <c r="L77"/>
      <c r="M77"/>
      <c r="N77"/>
      <c r="O77"/>
    </row>
    <row r="78" spans="1:32">
      <c r="I78"/>
      <c r="J78"/>
      <c r="K78"/>
      <c r="L78"/>
      <c r="M78"/>
      <c r="N78"/>
      <c r="O78"/>
    </row>
  </sheetData>
  <sheetProtection formatCells="0"/>
  <dataValidations count="1">
    <dataValidation type="list" showInputMessage="1" showErrorMessage="1" sqref="Q33 L33" xr:uid="{01521356-AEB7-4145-AA2C-D5EF4BA20CDF}">
      <formula1>PHPP_Daten_Ankreuzen</formula1>
    </dataValidation>
  </dataValidations>
  <pageMargins left="0.78740157480314965" right="0.78740157480314965" top="0.78740157480314965" bottom="0.78740157480314965" header="0.31496062992125984" footer="0.31496062992125984"/>
  <pageSetup paperSize="9" scale="54" fitToHeight="0" orientation="portrait" r:id="rId1"/>
  <headerFooter alignWithMargins="0">
    <oddFooter>&amp;LPHPP, &amp;A&amp;R&amp;F</oddFooter>
  </headerFooter>
  <ignoredErrors>
    <ignoredError sqref="L52:L54 L9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HP Duct Thermal Bridge v2</vt:lpstr>
      <vt:lpstr>Lueftung_Auslegungsvolumenstrom</vt:lpstr>
      <vt:lpstr>Lueftung_Nebenrechnung_Aussenluft_Daemmdicke</vt:lpstr>
      <vt:lpstr>Lueftung_Nebenrechnung_Aussenluft_Nennweite</vt:lpstr>
      <vt:lpstr>Lueftung_Nebenrechnung_Aussenluft_Verspiegelt</vt:lpstr>
      <vt:lpstr>Lueftung_Nebenrechnung_Aussenluft_Waermeleitfaehigkeit</vt:lpstr>
      <vt:lpstr>Lueftung_Nebenrechnung_Fortluft_Daemmdicke</vt:lpstr>
      <vt:lpstr>Lueftung_Nebenrechnung_Fortluft_Nennweite</vt:lpstr>
      <vt:lpstr>Lueftung_Nebenrechnung_Fortluft_Verspiegelt</vt:lpstr>
      <vt:lpstr>Lueftung_Nebenrechnung_Fortluft_Waermeleitfaehigkeit</vt:lpstr>
      <vt:lpstr>'HP Duct Thermal Bridge v2'!Print_Area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Roe</dc:creator>
  <cp:lastModifiedBy>Liam McDonagh-Greaves</cp:lastModifiedBy>
  <dcterms:created xsi:type="dcterms:W3CDTF">2021-03-11T10:40:26Z</dcterms:created>
  <dcterms:modified xsi:type="dcterms:W3CDTF">2022-08-03T14:23:12Z</dcterms:modified>
</cp:coreProperties>
</file>