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ewtp-my.sharepoint.com/personal/rtesmer_anewtp_com/Documents/My Files/BM HOA/BRM HOA Budgets/"/>
    </mc:Choice>
  </mc:AlternateContent>
  <xr:revisionPtr revIDLastSave="18" documentId="8_{43D85D3C-CDA8-47BC-AD84-2E12E2372F2D}" xr6:coauthVersionLast="47" xr6:coauthVersionMax="47" xr10:uidLastSave="{6708CC86-BB55-47FE-968C-44E3B82141CD}"/>
  <bookViews>
    <workbookView xWindow="990" yWindow="70" windowWidth="16770" windowHeight="13730" xr2:uid="{6AA9318B-B710-454C-AE1B-90E8FD7FFC0B}"/>
  </bookViews>
  <sheets>
    <sheet name="BM Community" sheetId="1" r:id="rId1"/>
    <sheet name="BM Townhomes" sheetId="2" r:id="rId2"/>
  </sheets>
  <definedNames>
    <definedName name="_xlnm.Print_Area" localSheetId="0">'BM Community'!$A$64:$E$71</definedName>
    <definedName name="_xlnm.Print_Area" localSheetId="1">'BM Townhomes'!$A$1:$P$33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K20" i="2"/>
  <c r="L20" i="2"/>
  <c r="M20" i="2"/>
  <c r="N20" i="2"/>
  <c r="O20" i="2"/>
  <c r="D20" i="2"/>
  <c r="E21" i="2"/>
  <c r="F21" i="2"/>
  <c r="G21" i="2"/>
  <c r="H21" i="2"/>
  <c r="I21" i="2"/>
  <c r="J21" i="2"/>
  <c r="K21" i="2"/>
  <c r="L21" i="2"/>
  <c r="M21" i="2"/>
  <c r="N21" i="2"/>
  <c r="O21" i="2"/>
  <c r="D21" i="2"/>
  <c r="P17" i="2"/>
  <c r="E15" i="2"/>
  <c r="F15" i="2"/>
  <c r="G15" i="2"/>
  <c r="H15" i="2"/>
  <c r="I15" i="2"/>
  <c r="J15" i="2"/>
  <c r="K15" i="2"/>
  <c r="L15" i="2"/>
  <c r="M15" i="2"/>
  <c r="N15" i="2"/>
  <c r="O15" i="2"/>
  <c r="D15" i="2"/>
  <c r="E14" i="2"/>
  <c r="F14" i="2"/>
  <c r="G14" i="2"/>
  <c r="H14" i="2"/>
  <c r="I14" i="2"/>
  <c r="J14" i="2"/>
  <c r="K14" i="2"/>
  <c r="L14" i="2"/>
  <c r="M14" i="2"/>
  <c r="N14" i="2"/>
  <c r="O14" i="2"/>
  <c r="D14" i="2"/>
  <c r="D10" i="2"/>
  <c r="E3" i="2"/>
  <c r="F3" i="2"/>
  <c r="G3" i="2"/>
  <c r="H3" i="2"/>
  <c r="I3" i="2"/>
  <c r="J3" i="2"/>
  <c r="K3" i="2"/>
  <c r="L3" i="2"/>
  <c r="M3" i="2"/>
  <c r="N3" i="2"/>
  <c r="O3" i="2"/>
  <c r="D3" i="2"/>
  <c r="P22" i="2"/>
  <c r="P19" i="2"/>
  <c r="P18" i="2"/>
  <c r="P5" i="2"/>
  <c r="D71" i="1"/>
  <c r="D70" i="1"/>
  <c r="D69" i="1"/>
  <c r="D67" i="1"/>
  <c r="D66" i="1"/>
  <c r="D65" i="1"/>
  <c r="D64" i="1"/>
  <c r="P61" i="1"/>
  <c r="E61" i="1"/>
  <c r="F61" i="1"/>
  <c r="G61" i="1"/>
  <c r="H61" i="1"/>
  <c r="I61" i="1"/>
  <c r="J61" i="1"/>
  <c r="K61" i="1"/>
  <c r="L61" i="1"/>
  <c r="M61" i="1"/>
  <c r="N61" i="1"/>
  <c r="O61" i="1"/>
  <c r="D61" i="1"/>
  <c r="P60" i="1"/>
  <c r="P59" i="1"/>
  <c r="E59" i="1"/>
  <c r="F59" i="1"/>
  <c r="G59" i="1"/>
  <c r="H59" i="1"/>
  <c r="I59" i="1"/>
  <c r="J59" i="1"/>
  <c r="K59" i="1"/>
  <c r="L59" i="1"/>
  <c r="M59" i="1"/>
  <c r="N59" i="1"/>
  <c r="O59" i="1"/>
  <c r="D59" i="1"/>
  <c r="P58" i="1"/>
  <c r="E58" i="1"/>
  <c r="F58" i="1"/>
  <c r="G58" i="1"/>
  <c r="H58" i="1"/>
  <c r="I58" i="1"/>
  <c r="J58" i="1"/>
  <c r="K58" i="1"/>
  <c r="L58" i="1"/>
  <c r="M58" i="1"/>
  <c r="N58" i="1"/>
  <c r="O58" i="1"/>
  <c r="D58" i="1"/>
  <c r="P57" i="1"/>
  <c r="P56" i="1"/>
  <c r="P55" i="1"/>
  <c r="P54" i="1"/>
  <c r="P53" i="1"/>
  <c r="P52" i="1"/>
  <c r="P51" i="1"/>
  <c r="E51" i="1"/>
  <c r="F51" i="1"/>
  <c r="G51" i="1"/>
  <c r="H51" i="1"/>
  <c r="I51" i="1"/>
  <c r="J51" i="1"/>
  <c r="K51" i="1"/>
  <c r="L51" i="1"/>
  <c r="M51" i="1"/>
  <c r="N51" i="1"/>
  <c r="O51" i="1"/>
  <c r="D51" i="1"/>
  <c r="P50" i="1"/>
  <c r="E50" i="1"/>
  <c r="F50" i="1"/>
  <c r="G50" i="1"/>
  <c r="H50" i="1"/>
  <c r="I50" i="1"/>
  <c r="J50" i="1"/>
  <c r="K50" i="1"/>
  <c r="L50" i="1"/>
  <c r="M50" i="1"/>
  <c r="N50" i="1"/>
  <c r="O50" i="1"/>
  <c r="D50" i="1"/>
  <c r="P49" i="1"/>
  <c r="E49" i="1"/>
  <c r="F49" i="1"/>
  <c r="G49" i="1"/>
  <c r="H49" i="1"/>
  <c r="I49" i="1"/>
  <c r="J49" i="1"/>
  <c r="K49" i="1"/>
  <c r="L49" i="1"/>
  <c r="M49" i="1"/>
  <c r="N49" i="1"/>
  <c r="O49" i="1"/>
  <c r="D49" i="1"/>
  <c r="E48" i="1"/>
  <c r="F48" i="1"/>
  <c r="G48" i="1"/>
  <c r="H48" i="1"/>
  <c r="I48" i="1"/>
  <c r="J48" i="1"/>
  <c r="K48" i="1"/>
  <c r="L48" i="1"/>
  <c r="M48" i="1"/>
  <c r="N48" i="1"/>
  <c r="O48" i="1"/>
  <c r="D48" i="1"/>
  <c r="P47" i="1"/>
  <c r="E47" i="1"/>
  <c r="F47" i="1"/>
  <c r="G47" i="1"/>
  <c r="H47" i="1"/>
  <c r="I47" i="1"/>
  <c r="J47" i="1"/>
  <c r="K47" i="1"/>
  <c r="L47" i="1"/>
  <c r="M47" i="1"/>
  <c r="N47" i="1"/>
  <c r="O47" i="1"/>
  <c r="D47" i="1"/>
  <c r="P46" i="1"/>
  <c r="P45" i="1"/>
  <c r="P44" i="1"/>
  <c r="E44" i="1"/>
  <c r="F44" i="1"/>
  <c r="G44" i="1"/>
  <c r="H44" i="1"/>
  <c r="I44" i="1"/>
  <c r="J44" i="1"/>
  <c r="K44" i="1"/>
  <c r="L44" i="1"/>
  <c r="M44" i="1"/>
  <c r="N44" i="1"/>
  <c r="O44" i="1"/>
  <c r="D44" i="1"/>
  <c r="P43" i="1"/>
  <c r="P42" i="1"/>
  <c r="P41" i="1"/>
  <c r="P40" i="1"/>
  <c r="P39" i="1"/>
  <c r="P38" i="1"/>
  <c r="P37" i="1"/>
  <c r="E36" i="1"/>
  <c r="F36" i="1"/>
  <c r="G36" i="1"/>
  <c r="H36" i="1"/>
  <c r="I36" i="1"/>
  <c r="J36" i="1"/>
  <c r="K36" i="1"/>
  <c r="L36" i="1"/>
  <c r="M36" i="1"/>
  <c r="N36" i="1"/>
  <c r="O36" i="1"/>
  <c r="D36" i="1"/>
  <c r="P35" i="1"/>
  <c r="E35" i="1"/>
  <c r="F35" i="1"/>
  <c r="G35" i="1"/>
  <c r="H35" i="1"/>
  <c r="I35" i="1"/>
  <c r="J35" i="1"/>
  <c r="K35" i="1"/>
  <c r="L35" i="1"/>
  <c r="M35" i="1"/>
  <c r="N35" i="1"/>
  <c r="O35" i="1"/>
  <c r="D35" i="1"/>
  <c r="D32" i="1"/>
  <c r="D29" i="1"/>
  <c r="D30" i="1"/>
  <c r="D31" i="1"/>
  <c r="P27" i="1"/>
  <c r="P26" i="1"/>
  <c r="E26" i="1"/>
  <c r="F26" i="1"/>
  <c r="G26" i="1"/>
  <c r="H26" i="1"/>
  <c r="I26" i="1"/>
  <c r="J26" i="1"/>
  <c r="K26" i="1"/>
  <c r="L26" i="1"/>
  <c r="M26" i="1"/>
  <c r="N26" i="1"/>
  <c r="O26" i="1"/>
  <c r="D26" i="1"/>
  <c r="P25" i="1"/>
  <c r="P24" i="1"/>
  <c r="E24" i="1"/>
  <c r="F24" i="1"/>
  <c r="G24" i="1"/>
  <c r="H24" i="1"/>
  <c r="I24" i="1"/>
  <c r="J24" i="1"/>
  <c r="K24" i="1"/>
  <c r="L24" i="1"/>
  <c r="M24" i="1"/>
  <c r="N24" i="1"/>
  <c r="O24" i="1"/>
  <c r="D24" i="1"/>
  <c r="P23" i="1"/>
  <c r="E23" i="1"/>
  <c r="F23" i="1"/>
  <c r="G23" i="1"/>
  <c r="H23" i="1"/>
  <c r="I23" i="1"/>
  <c r="J23" i="1"/>
  <c r="K23" i="1"/>
  <c r="L23" i="1"/>
  <c r="M23" i="1"/>
  <c r="N23" i="1"/>
  <c r="O23" i="1"/>
  <c r="D23" i="1"/>
  <c r="P22" i="1"/>
  <c r="P21" i="1"/>
  <c r="E21" i="1"/>
  <c r="F21" i="1"/>
  <c r="G21" i="1"/>
  <c r="H21" i="1"/>
  <c r="I21" i="1"/>
  <c r="J21" i="1"/>
  <c r="K21" i="1"/>
  <c r="L21" i="1"/>
  <c r="M21" i="1"/>
  <c r="N21" i="1"/>
  <c r="O21" i="1"/>
  <c r="D21" i="1"/>
  <c r="P20" i="1"/>
  <c r="E20" i="1"/>
  <c r="F20" i="1"/>
  <c r="G20" i="1"/>
  <c r="H20" i="1"/>
  <c r="I20" i="1"/>
  <c r="J20" i="1"/>
  <c r="K20" i="1"/>
  <c r="L20" i="1"/>
  <c r="M20" i="1"/>
  <c r="N20" i="1"/>
  <c r="O20" i="1"/>
  <c r="D20" i="1"/>
  <c r="P19" i="1"/>
  <c r="E19" i="1"/>
  <c r="F19" i="1"/>
  <c r="G19" i="1"/>
  <c r="H19" i="1"/>
  <c r="I19" i="1"/>
  <c r="J19" i="1"/>
  <c r="K19" i="1"/>
  <c r="L19" i="1"/>
  <c r="M19" i="1"/>
  <c r="N19" i="1"/>
  <c r="O19" i="1"/>
  <c r="D19" i="1"/>
  <c r="P14" i="1"/>
  <c r="P15" i="1"/>
  <c r="P16" i="1"/>
  <c r="P17" i="1"/>
  <c r="P18" i="1"/>
  <c r="E17" i="1"/>
  <c r="F17" i="1"/>
  <c r="G17" i="1"/>
  <c r="H17" i="1"/>
  <c r="I17" i="1"/>
  <c r="J17" i="1"/>
  <c r="K17" i="1"/>
  <c r="L17" i="1"/>
  <c r="M17" i="1"/>
  <c r="N17" i="1"/>
  <c r="O17" i="1"/>
  <c r="D17" i="1"/>
  <c r="E16" i="1"/>
  <c r="F16" i="1"/>
  <c r="G16" i="1"/>
  <c r="H16" i="1"/>
  <c r="I16" i="1"/>
  <c r="J16" i="1"/>
  <c r="K16" i="1"/>
  <c r="L16" i="1"/>
  <c r="M16" i="1"/>
  <c r="N16" i="1"/>
  <c r="O16" i="1"/>
  <c r="D16" i="1"/>
  <c r="E14" i="1"/>
  <c r="F14" i="1"/>
  <c r="G14" i="1"/>
  <c r="H14" i="1"/>
  <c r="I14" i="1"/>
  <c r="J14" i="1"/>
  <c r="K14" i="1"/>
  <c r="L14" i="1"/>
  <c r="M14" i="1"/>
  <c r="N14" i="1"/>
  <c r="O14" i="1"/>
  <c r="D14" i="1"/>
  <c r="P13" i="1"/>
  <c r="E13" i="1"/>
  <c r="F13" i="1"/>
  <c r="G13" i="1"/>
  <c r="H13" i="1"/>
  <c r="I13" i="1"/>
  <c r="J13" i="1"/>
  <c r="K13" i="1"/>
  <c r="L13" i="1"/>
  <c r="M13" i="1"/>
  <c r="N13" i="1"/>
  <c r="O13" i="1"/>
  <c r="D13" i="1"/>
  <c r="C9" i="1"/>
  <c r="C8" i="1"/>
  <c r="C5" i="1"/>
  <c r="C10" i="1" s="1"/>
  <c r="P20" i="2" l="1"/>
  <c r="P21" i="2"/>
  <c r="P16" i="2"/>
  <c r="P3" i="2"/>
  <c r="P4" i="2"/>
  <c r="P6" i="2"/>
  <c r="P14" i="2"/>
  <c r="P15" i="2"/>
  <c r="P48" i="1"/>
  <c r="P62" i="1"/>
  <c r="P36" i="1"/>
  <c r="P23" i="2" l="1"/>
  <c r="D26" i="2" s="1"/>
  <c r="P7" i="2"/>
  <c r="D9" i="2" s="1"/>
  <c r="D11" i="2" l="1"/>
  <c r="D25" i="2" s="1"/>
  <c r="D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tc={59A3B2A7-EA2B-458F-8B5B-214B16FD2784}</author>
    <author>tc={9335EDA4-04C9-45BA-98AF-476E90456C49}</author>
    <author>tc={BE816908-FBA2-435D-AD94-0A57AD471A7A}</author>
    <author>tc={D52B5E07-746C-4071-AF16-3F1A24A33D9A}</author>
    <author>tc={9C0798CF-4494-42A4-B0AD-A5DEE978CF49}</author>
    <author>tc={CEDD081C-4B6D-4100-B388-32A598904C68}</author>
    <author>tc={A143525A-0484-42D1-BCB0-80B920E69103}</author>
    <author>tc={CA533338-3EFD-40BD-ADD4-2DDEE884D051}</author>
    <author>tc={A8991E6A-F381-4A9E-9453-A64EE3A03759}</author>
    <author>tc={AFC42752-7B28-4FD1-9395-62568AC8B77C}</author>
    <author>tc={D17C5055-C5B4-4EBD-82F5-DC0D35BEFB6D}</author>
    <author>tc={862300AB-E766-45B5-9967-24F2BE6F5AAB}</author>
  </authors>
  <commentList>
    <comment ref="D14" authorId="0" shapeId="0" xr:uid="{59A3B2A7-EA2B-458F-8B5B-214B16FD2784}">
      <text>
        <t>[Threaded comment]
Your version of Excel allows you to read this threaded comment; however, any edits to it will get removed if the file is opened in a newer version of Excel. Learn more: https://go.microsoft.com/fwlink/?linkid=870924
Comment:
    Are all Reserve Accounts, Interest Earning?</t>
      </text>
    </comment>
    <comment ref="D18" authorId="1" shapeId="0" xr:uid="{9335EDA4-04C9-45BA-98AF-476E90456C49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was this a zero this year?</t>
      </text>
    </comment>
    <comment ref="D26" authorId="2" shapeId="0" xr:uid="{BE816908-FBA2-435D-AD94-0A57AD471A7A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constitutes Misc Rev?</t>
      </text>
    </comment>
    <comment ref="D37" authorId="3" shapeId="0" xr:uid="{D52B5E07-746C-4071-AF16-3F1A24A33D9A}">
      <text>
        <t>[Threaded comment]
Your version of Excel allows you to read this threaded comment; however, any edits to it will get removed if the file is opened in a newer version of Excel. Learn more: https://go.microsoft.com/fwlink/?linkid=870924
Comment:
    Which months do these costs belong in?</t>
      </text>
    </comment>
    <comment ref="D38" authorId="4" shapeId="0" xr:uid="{9C0798CF-4494-42A4-B0AD-A5DEE978CF49}">
      <text>
        <t>[Threaded comment]
Your version of Excel allows you to read this threaded comment; however, any edits to it will get removed if the file is opened in a newer version of Excel. Learn more: https://go.microsoft.com/fwlink/?linkid=870924
Comment:
    Board is it time to start community events?</t>
      </text>
    </comment>
    <comment ref="D39" authorId="5" shapeId="0" xr:uid="{CEDD081C-4B6D-4100-B388-32A598904C68}">
      <text>
        <t>[Threaded comment]
Your version of Excel allows you to read this threaded comment; however, any edits to it will get removed if the file is opened in a newer version of Excel. Learn more: https://go.microsoft.com/fwlink/?linkid=870924
Comment:
    Board lets discuss</t>
      </text>
    </comment>
    <comment ref="D40" authorId="6" shapeId="0" xr:uid="{A143525A-0484-42D1-BCB0-80B920E69103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did we decide?  More coverage at what cost?</t>
      </text>
    </comment>
    <comment ref="D41" authorId="7" shapeId="0" xr:uid="{CA533338-3EFD-40BD-ADD4-2DDEE884D051}">
      <text>
        <t>[Threaded comment]
Your version of Excel allows you to read this threaded comment; however, any edits to it will get removed if the file is opened in a newer version of Excel. Learn more: https://go.microsoft.com/fwlink/?linkid=870924
Comment:
    1 or 2 Porters?  At what cost?</t>
      </text>
    </comment>
    <comment ref="D45" authorId="8" shapeId="0" xr:uid="{A8991E6A-F381-4A9E-9453-A64EE3A03759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expect another Tree Trimming expense next year?</t>
      </text>
    </comment>
    <comment ref="D46" authorId="9" shapeId="0" xr:uid="{AFC42752-7B28-4FD1-9395-62568AC8B77C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expectations?</t>
      </text>
    </comment>
    <comment ref="D60" authorId="10" shapeId="0" xr:uid="{D17C5055-C5B4-4EBD-82F5-DC0D35BEFB6D}">
      <text>
        <t>[Threaded comment]
Your version of Excel allows you to read this threaded comment; however, any edits to it will get removed if the file is opened in a newer version of Excel. Learn more: https://go.microsoft.com/fwlink/?linkid=870924
Comment:
    Would the new website go here?, its hosting? Its webmaster?</t>
      </text>
    </comment>
    <comment ref="D61" authorId="11" shapeId="0" xr:uid="{862300AB-E766-45B5-9967-24F2BE6F5AAB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Whats the difference with 5800?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tc={7B08C9D8-ABAC-458E-BC8D-EF2A33A233EA}</author>
    <author>tc={A6C60A78-5402-4A34-9372-CF70171F418F}</author>
    <author>tc={D66D85A5-8913-4E30-84BC-8894B88E50C5}</author>
  </authors>
  <commentList>
    <comment ref="D17" authorId="0" shapeId="0" xr:uid="{7B08C9D8-ABAC-458E-BC8D-EF2A33A233EA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caused TH Legal Fees to be so high?  Next years expectation?</t>
      </text>
    </comment>
    <comment ref="D18" authorId="1" shapeId="0" xr:uid="{A6C60A78-5402-4A34-9372-CF70171F418F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powerwashing and painting be 1000% done and paid this year?</t>
      </text>
    </comment>
    <comment ref="D20" authorId="2" shapeId="0" xr:uid="{D66D85A5-8913-4E30-84BC-8894B88E50C5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there a projection for next year of replacements?</t>
      </text>
    </comment>
  </commentList>
</comments>
</file>

<file path=xl/sharedStrings.xml><?xml version="1.0" encoding="utf-8"?>
<sst xmlns="http://schemas.openxmlformats.org/spreadsheetml/2006/main" count="87" uniqueCount="76">
  <si>
    <t>Total</t>
  </si>
  <si>
    <t>Reserves</t>
  </si>
  <si>
    <t>BM1</t>
  </si>
  <si>
    <t>BM2</t>
  </si>
  <si>
    <t>TH1</t>
  </si>
  <si>
    <t>TH2</t>
  </si>
  <si>
    <t>Pump</t>
  </si>
  <si>
    <t>TH3</t>
  </si>
  <si>
    <t>BM3</t>
  </si>
  <si>
    <t>4003 - New Owner Cap Fee</t>
  </si>
  <si>
    <t>4005 - Operating Bank Interest Inc</t>
  </si>
  <si>
    <t>4006 - Main Reserve Interest Income</t>
  </si>
  <si>
    <t>4013 - HO Registered Letter</t>
  </si>
  <si>
    <t>4015 - HO Interest Income</t>
  </si>
  <si>
    <t>4020 - Certified Letter Reimbursement</t>
  </si>
  <si>
    <t>4022 - HO DRV Fines</t>
  </si>
  <si>
    <t>4040 - HO Legal/Atty Fees</t>
  </si>
  <si>
    <t>4100 - Shared Fence Reimbursement</t>
  </si>
  <si>
    <t>4105 - Pump Detention Reimburs.</t>
  </si>
  <si>
    <t>4110 - HO NSF Fees</t>
  </si>
  <si>
    <t>4301 - HO Late Fees</t>
  </si>
  <si>
    <t>4306 - Transfer from Reserves</t>
  </si>
  <si>
    <t>5050 - Miscellaneous Revenue</t>
  </si>
  <si>
    <t>BM Operating Income</t>
  </si>
  <si>
    <t>Total BM Operating Income</t>
  </si>
  <si>
    <t>Total Discretionary Income</t>
  </si>
  <si>
    <t>Total Assessment Income</t>
  </si>
  <si>
    <t>(transfer to Reserves)</t>
  </si>
  <si>
    <t>BM Operating Expenses</t>
  </si>
  <si>
    <t>5100 - Administrative Expense</t>
  </si>
  <si>
    <t>5102 - Admin Expenses DRV</t>
  </si>
  <si>
    <t>5120 - CPA Audit-Tax Preparation</t>
  </si>
  <si>
    <t>5225 - Community Events</t>
  </si>
  <si>
    <t>5250 - Community Communication</t>
  </si>
  <si>
    <t>5275 - Contract Labor/Security</t>
  </si>
  <si>
    <t>5300 - Daytime Porter</t>
  </si>
  <si>
    <t>5325 - Electricity</t>
  </si>
  <si>
    <t>5350 - Holiday Expense Decorations</t>
  </si>
  <si>
    <t>5400 - Insurance</t>
  </si>
  <si>
    <t>5425 - Landscape Contract</t>
  </si>
  <si>
    <t>5475 - Landscape - Misc</t>
  </si>
  <si>
    <t>5500 - Legal Board-Corporate</t>
  </si>
  <si>
    <t>5550 - Legal Expense Collect-DRV</t>
  </si>
  <si>
    <t xml:space="preserve">5600 - Maintenance &amp; Repairs </t>
  </si>
  <si>
    <t>5650 - Maintenance &amp; Repairs - Fence</t>
  </si>
  <si>
    <t>5675 - Shared Fence Repair</t>
  </si>
  <si>
    <t>5700 - Management Fees</t>
  </si>
  <si>
    <t>5710 - Meeting Expenses</t>
  </si>
  <si>
    <t>5725 - Storage</t>
  </si>
  <si>
    <t>5730 - Office Supplies</t>
  </si>
  <si>
    <t>5750 - Office Supplies - Postage</t>
  </si>
  <si>
    <t>5800 - Pest Control</t>
  </si>
  <si>
    <t>5850 - Taxes - Property</t>
  </si>
  <si>
    <t>5900 - Water &amp; Sewer</t>
  </si>
  <si>
    <t>5950 - Technology Expenses</t>
  </si>
  <si>
    <t>6040 - Mosquito Control Contract</t>
  </si>
  <si>
    <t>Total BM Expenses</t>
  </si>
  <si>
    <t>Expenses</t>
  </si>
  <si>
    <t>Difference</t>
  </si>
  <si>
    <t>Minus Discretionary</t>
  </si>
  <si>
    <t>BM TH Operating Income</t>
  </si>
  <si>
    <t>8100 - TH Assessment</t>
  </si>
  <si>
    <t>8150 - New TH Cap Fee</t>
  </si>
  <si>
    <t>8160 - TH Bank Interest Income</t>
  </si>
  <si>
    <t>8175 - TH Owner Legal Fee</t>
  </si>
  <si>
    <t>Total TH Operating Income</t>
  </si>
  <si>
    <t>BM TH Operating Expenses</t>
  </si>
  <si>
    <t>9100 - Insurance Prop &amp; Casualt TH</t>
  </si>
  <si>
    <t>9105 - TH Administrative Expenses</t>
  </si>
  <si>
    <t>9106 - Administrative Postage TH</t>
  </si>
  <si>
    <t>9200 - Legal Expenses TH</t>
  </si>
  <si>
    <t>9300 - Maintenance/Repairs Bldg TH</t>
  </si>
  <si>
    <t>9400 - Maint. Roof Repairs TH</t>
  </si>
  <si>
    <t>9401 - Maint. Roof Replacement TH</t>
  </si>
  <si>
    <t>9500 - Management Fees - TH</t>
  </si>
  <si>
    <t>9600 - Reserve Contributions TH Optg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</si>
</sst>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3" fillId="0" borderId="0" xfId="0" applyFont="1"/>
    <xf numFmtId="44" fontId="3" fillId="0" borderId="0" xfId="1" applyFont="1"/>
    <xf numFmtId="164" fontId="3" fillId="0" borderId="0" xfId="1" applyNumberFormat="1" applyFont="1"/>
    <xf numFmtId="0" fontId="4" fillId="0" borderId="0" xfId="0" applyFont="1"/>
    <xf numFmtId="44" fontId="5" fillId="0" borderId="0" xfId="1" applyFont="1"/>
    <xf numFmtId="44" fontId="3" fillId="0" borderId="0" xfId="0" applyNumberFormat="1" applyFont="1"/>
    <xf numFmtId="44" fontId="0" fillId="2" borderId="0" xfId="1" applyFont="1" applyFill="1"/>
    <xf numFmtId="0" fontId="3" fillId="0" borderId="0" xfId="0" applyFont="1" applyAlignment="1">
      <alignment horizontal="right"/>
    </xf>
    <xf numFmtId="0" fontId="3" fillId="3" borderId="0" xfId="0" applyFont="1" applyFill="1"/>
    <xf numFmtId="44" fontId="0" fillId="3" borderId="0" xfId="1" applyFont="1" applyFill="1"/>
    <xf numFmtId="0" fontId="0" fillId="3" borderId="0" xfId="1" applyNumberFormat="1" applyFont="1" applyFill="1"/>
    <xf numFmtId="44" fontId="2" fillId="3" borderId="0" xfId="1" applyFont="1" applyFill="1"/>
    <xf numFmtId="44" fontId="6" fillId="0" borderId="0" xfId="0" applyNumberFormat="1" applyFont="1"/>
    <xf numFmtId="44" fontId="0" fillId="0" borderId="0" xfId="1" applyFont="1" applyFill="1"/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Tesmer" id="{F13223E7-F256-4AFD-86F2-53EC7739808B}" userId="Richard Tesm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2-09-25T21:48:26.75" personId="{F13223E7-F256-4AFD-86F2-53EC7739808B}" id="{59A3B2A7-EA2B-458F-8B5B-214B16FD2784}">
    <text>Are all Reserve Accounts, Interest Earning?</text>
  </threadedComment>
  <threadedComment ref="D18" dT="2022-09-25T21:54:54.20" personId="{F13223E7-F256-4AFD-86F2-53EC7739808B}" id="{9335EDA4-04C9-45BA-98AF-476E90456C49}">
    <text>Why was this a zero this year?</text>
  </threadedComment>
  <threadedComment ref="D26" dT="2022-09-25T22:03:27.55" personId="{F13223E7-F256-4AFD-86F2-53EC7739808B}" id="{BE816908-FBA2-435D-AD94-0A57AD471A7A}">
    <text>What constitutes Misc Rev?</text>
  </threadedComment>
  <threadedComment ref="D37" dT="2022-09-25T22:28:09.86" personId="{F13223E7-F256-4AFD-86F2-53EC7739808B}" id="{D52B5E07-746C-4071-AF16-3F1A24A33D9A}">
    <text>Which months do these costs belong in?</text>
  </threadedComment>
  <threadedComment ref="D38" dT="2022-09-25T22:33:09.30" personId="{F13223E7-F256-4AFD-86F2-53EC7739808B}" id="{9C0798CF-4494-42A4-B0AD-A5DEE978CF49}">
    <text>Board is it time to start community events?</text>
  </threadedComment>
  <threadedComment ref="D39" dT="2022-09-25T22:32:43.97" personId="{F13223E7-F256-4AFD-86F2-53EC7739808B}" id="{CEDD081C-4B6D-4100-B388-32A598904C68}">
    <text>Board lets discuss</text>
  </threadedComment>
  <threadedComment ref="D40" dT="2022-09-25T22:33:41.63" personId="{F13223E7-F256-4AFD-86F2-53EC7739808B}" id="{A143525A-0484-42D1-BCB0-80B920E69103}">
    <text>What did we decide?  More coverage at what cost?</text>
  </threadedComment>
  <threadedComment ref="D41" dT="2022-09-25T22:34:55.92" personId="{F13223E7-F256-4AFD-86F2-53EC7739808B}" id="{CA533338-3EFD-40BD-ADD4-2DDEE884D051}">
    <text>1 or 2 Porters?  At what cost?</text>
  </threadedComment>
  <threadedComment ref="D45" dT="2022-09-25T22:41:34.71" personId="{F13223E7-F256-4AFD-86F2-53EC7739808B}" id="{A8991E6A-F381-4A9E-9453-A64EE3A03759}">
    <text>Do we expect another Tree Trimming expense next year?</text>
  </threadedComment>
  <threadedComment ref="D46" dT="2022-09-25T22:44:43.62" personId="{F13223E7-F256-4AFD-86F2-53EC7739808B}" id="{AFC42752-7B28-4FD1-9395-62568AC8B77C}">
    <text>Any expectations?</text>
  </threadedComment>
  <threadedComment ref="D60" dT="2022-09-25T22:56:00.23" personId="{F13223E7-F256-4AFD-86F2-53EC7739808B}" id="{D17C5055-C5B4-4EBD-82F5-DC0D35BEFB6D}">
    <text>Would the new website go here?, its hosting? Its webmaster?</text>
  </threadedComment>
  <threadedComment ref="D61" dT="2022-09-25T22:57:34.15" personId="{F13223E7-F256-4AFD-86F2-53EC7739808B}" id="{862300AB-E766-45B5-9967-24F2BE6F5AAB}">
    <text>Whats the difference with 5800?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7" dT="2022-09-25T23:20:25.29" personId="{F13223E7-F256-4AFD-86F2-53EC7739808B}" id="{7B08C9D8-ABAC-458E-BC8D-EF2A33A233EA}">
    <text>What caused TH Legal Fees to be so high?  Next years expectation?</text>
  </threadedComment>
  <threadedComment ref="D18" dT="2022-09-25T23:21:56.19" personId="{F13223E7-F256-4AFD-86F2-53EC7739808B}" id="{A6C60A78-5402-4A34-9372-CF70171F418F}">
    <text>Will powerwashing and painting be 1000% done and paid this year?</text>
  </threadedComment>
  <threadedComment ref="D20" dT="2022-09-25T23:23:50.33" personId="{F13223E7-F256-4AFD-86F2-53EC7739808B}" id="{D66D85A5-8913-4E30-84BC-8894B88E50C5}">
    <text>Is there a projection for next year of replacements?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3945-6673-4BFF-843E-0E5861E9ABE2}">
  <sheetPr>
    <pageSetUpPr fitToPage="1"/>
  </sheetPr>
  <dimension ref="A1:P71"/>
  <sheetViews>
    <sheetView tabSelected="1" workbookViewId="0"/>
  </sheetViews>
  <sheetFormatPr defaultRowHeight="14.5" x14ac:dyDescent="0.35"/>
  <cols>
    <col min="1" max="1" width="8.7265625" style="2"/>
    <col min="2" max="2" width="12.08984375" style="1" bestFit="1" customWidth="1"/>
    <col min="3" max="3" width="34.6328125" style="3" bestFit="1" customWidth="1"/>
    <col min="4" max="4" width="12.08984375" style="1" bestFit="1" customWidth="1"/>
    <col min="5" max="14" width="11.08984375" style="1" bestFit="1" customWidth="1"/>
    <col min="15" max="15" width="12.453125" customWidth="1"/>
    <col min="16" max="16" width="12.1796875" style="2" bestFit="1" customWidth="1"/>
  </cols>
  <sheetData>
    <row r="1" spans="1:16" s="2" customFormat="1" x14ac:dyDescent="0.35">
      <c r="D1" s="4">
        <v>44584</v>
      </c>
      <c r="E1" s="4">
        <v>44615</v>
      </c>
      <c r="F1" s="4">
        <v>44643</v>
      </c>
      <c r="G1" s="4">
        <v>44674</v>
      </c>
      <c r="H1" s="4">
        <v>44704</v>
      </c>
      <c r="I1" s="4">
        <v>44735</v>
      </c>
      <c r="J1" s="4">
        <v>44765</v>
      </c>
      <c r="K1" s="4">
        <v>44796</v>
      </c>
      <c r="L1" s="4">
        <v>44827</v>
      </c>
      <c r="M1" s="4">
        <v>44857</v>
      </c>
      <c r="N1" s="4">
        <v>44888</v>
      </c>
      <c r="O1" s="4">
        <v>44918</v>
      </c>
      <c r="P1" s="3" t="s">
        <v>0</v>
      </c>
    </row>
    <row r="2" spans="1:16" ht="18.5" x14ac:dyDescent="0.45">
      <c r="A2" s="5" t="s">
        <v>1</v>
      </c>
    </row>
    <row r="3" spans="1:16" x14ac:dyDescent="0.35">
      <c r="A3" s="2" t="s">
        <v>2</v>
      </c>
      <c r="B3" s="1">
        <v>198355.06</v>
      </c>
    </row>
    <row r="4" spans="1:16" x14ac:dyDescent="0.35">
      <c r="A4" s="2" t="s">
        <v>3</v>
      </c>
      <c r="B4" s="1">
        <v>249135.8</v>
      </c>
    </row>
    <row r="5" spans="1:16" x14ac:dyDescent="0.35">
      <c r="A5" s="2" t="s">
        <v>8</v>
      </c>
      <c r="B5" s="1">
        <v>251480.25</v>
      </c>
      <c r="C5" s="3">
        <f>SUM(B3:B5)</f>
        <v>698971.11</v>
      </c>
    </row>
    <row r="6" spans="1:16" x14ac:dyDescent="0.35">
      <c r="A6" s="2" t="s">
        <v>4</v>
      </c>
      <c r="B6" s="1">
        <v>481625.03</v>
      </c>
    </row>
    <row r="7" spans="1:16" x14ac:dyDescent="0.35">
      <c r="A7" s="2" t="s">
        <v>5</v>
      </c>
      <c r="B7" s="1">
        <v>249133.8</v>
      </c>
    </row>
    <row r="8" spans="1:16" x14ac:dyDescent="0.35">
      <c r="A8" s="2" t="s">
        <v>7</v>
      </c>
      <c r="B8" s="1">
        <v>249135.8</v>
      </c>
      <c r="C8" s="3">
        <f>SUM(B6:B8)</f>
        <v>979894.63000000012</v>
      </c>
    </row>
    <row r="9" spans="1:16" x14ac:dyDescent="0.35">
      <c r="A9" s="2" t="s">
        <v>6</v>
      </c>
      <c r="B9" s="1">
        <v>118180.48</v>
      </c>
      <c r="C9" s="3">
        <f>B9</f>
        <v>118180.48</v>
      </c>
    </row>
    <row r="10" spans="1:16" x14ac:dyDescent="0.35">
      <c r="C10" s="3">
        <f>SUM(C3:C9)</f>
        <v>1797046.2200000002</v>
      </c>
    </row>
    <row r="12" spans="1:16" ht="18.5" x14ac:dyDescent="0.45">
      <c r="A12" s="5" t="s">
        <v>23</v>
      </c>
    </row>
    <row r="13" spans="1:16" x14ac:dyDescent="0.35">
      <c r="C13" s="3" t="s">
        <v>9</v>
      </c>
      <c r="D13" s="1">
        <f>(10630*0.6)/12</f>
        <v>531.5</v>
      </c>
      <c r="E13" s="1">
        <f t="shared" ref="E13:O13" si="0">(10630*0.6)/12</f>
        <v>531.5</v>
      </c>
      <c r="F13" s="1">
        <f t="shared" si="0"/>
        <v>531.5</v>
      </c>
      <c r="G13" s="1">
        <f t="shared" si="0"/>
        <v>531.5</v>
      </c>
      <c r="H13" s="1">
        <f t="shared" si="0"/>
        <v>531.5</v>
      </c>
      <c r="I13" s="1">
        <f t="shared" si="0"/>
        <v>531.5</v>
      </c>
      <c r="J13" s="1">
        <f t="shared" si="0"/>
        <v>531.5</v>
      </c>
      <c r="K13" s="1">
        <f t="shared" si="0"/>
        <v>531.5</v>
      </c>
      <c r="L13" s="1">
        <f t="shared" si="0"/>
        <v>531.5</v>
      </c>
      <c r="M13" s="1">
        <f t="shared" si="0"/>
        <v>531.5</v>
      </c>
      <c r="N13" s="1">
        <f t="shared" si="0"/>
        <v>531.5</v>
      </c>
      <c r="O13" s="1">
        <f t="shared" si="0"/>
        <v>531.5</v>
      </c>
      <c r="P13" s="7">
        <f>SUM(D13:O13)</f>
        <v>6378</v>
      </c>
    </row>
    <row r="14" spans="1:16" x14ac:dyDescent="0.35">
      <c r="C14" s="3" t="s">
        <v>10</v>
      </c>
      <c r="D14" s="8">
        <f>137.03/12</f>
        <v>11.419166666666667</v>
      </c>
      <c r="E14" s="1">
        <f t="shared" ref="E14:O14" si="1">137.03/12</f>
        <v>11.419166666666667</v>
      </c>
      <c r="F14" s="1">
        <f t="shared" si="1"/>
        <v>11.419166666666667</v>
      </c>
      <c r="G14" s="1">
        <f t="shared" si="1"/>
        <v>11.419166666666667</v>
      </c>
      <c r="H14" s="1">
        <f t="shared" si="1"/>
        <v>11.419166666666667</v>
      </c>
      <c r="I14" s="1">
        <f t="shared" si="1"/>
        <v>11.419166666666667</v>
      </c>
      <c r="J14" s="1">
        <f t="shared" si="1"/>
        <v>11.419166666666667</v>
      </c>
      <c r="K14" s="1">
        <f t="shared" si="1"/>
        <v>11.419166666666667</v>
      </c>
      <c r="L14" s="1">
        <f t="shared" si="1"/>
        <v>11.419166666666667</v>
      </c>
      <c r="M14" s="1">
        <f t="shared" si="1"/>
        <v>11.419166666666667</v>
      </c>
      <c r="N14" s="1">
        <f t="shared" si="1"/>
        <v>11.419166666666667</v>
      </c>
      <c r="O14" s="1">
        <f t="shared" si="1"/>
        <v>11.419166666666667</v>
      </c>
      <c r="P14" s="7">
        <f t="shared" ref="P14:P26" si="2">SUM(D14:O14)</f>
        <v>137.03</v>
      </c>
    </row>
    <row r="15" spans="1:16" x14ac:dyDescent="0.35">
      <c r="C15" s="3" t="s">
        <v>11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7">
        <f t="shared" si="2"/>
        <v>0</v>
      </c>
    </row>
    <row r="16" spans="1:16" x14ac:dyDescent="0.35">
      <c r="C16" s="6" t="s">
        <v>12</v>
      </c>
      <c r="D16" s="1">
        <f>(880.82*0.6)/9</f>
        <v>58.721333333333327</v>
      </c>
      <c r="E16" s="1">
        <f t="shared" ref="E16:O16" si="3">(880.82*0.6)/9</f>
        <v>58.721333333333327</v>
      </c>
      <c r="F16" s="1">
        <f t="shared" si="3"/>
        <v>58.721333333333327</v>
      </c>
      <c r="G16" s="1">
        <f t="shared" si="3"/>
        <v>58.721333333333327</v>
      </c>
      <c r="H16" s="1">
        <f t="shared" si="3"/>
        <v>58.721333333333327</v>
      </c>
      <c r="I16" s="1">
        <f t="shared" si="3"/>
        <v>58.721333333333327</v>
      </c>
      <c r="J16" s="1">
        <f t="shared" si="3"/>
        <v>58.721333333333327</v>
      </c>
      <c r="K16" s="1">
        <f t="shared" si="3"/>
        <v>58.721333333333327</v>
      </c>
      <c r="L16" s="1">
        <f t="shared" si="3"/>
        <v>58.721333333333327</v>
      </c>
      <c r="M16" s="1">
        <f t="shared" si="3"/>
        <v>58.721333333333327</v>
      </c>
      <c r="N16" s="1">
        <f t="shared" si="3"/>
        <v>58.721333333333327</v>
      </c>
      <c r="O16" s="1">
        <f t="shared" si="3"/>
        <v>58.721333333333327</v>
      </c>
      <c r="P16" s="7">
        <f t="shared" si="2"/>
        <v>704.65599999999984</v>
      </c>
    </row>
    <row r="17" spans="1:16" x14ac:dyDescent="0.35">
      <c r="C17" s="3" t="s">
        <v>13</v>
      </c>
      <c r="D17" s="1">
        <f>3782.78/9</f>
        <v>420.30888888888893</v>
      </c>
      <c r="E17" s="1">
        <f t="shared" ref="E17:O17" si="4">3782.78/9</f>
        <v>420.30888888888893</v>
      </c>
      <c r="F17" s="1">
        <f t="shared" si="4"/>
        <v>420.30888888888893</v>
      </c>
      <c r="G17" s="1">
        <f t="shared" si="4"/>
        <v>420.30888888888893</v>
      </c>
      <c r="H17" s="1">
        <f t="shared" si="4"/>
        <v>420.30888888888893</v>
      </c>
      <c r="I17" s="1">
        <f t="shared" si="4"/>
        <v>420.30888888888893</v>
      </c>
      <c r="J17" s="1">
        <f t="shared" si="4"/>
        <v>420.30888888888893</v>
      </c>
      <c r="K17" s="1">
        <f t="shared" si="4"/>
        <v>420.30888888888893</v>
      </c>
      <c r="L17" s="1">
        <f t="shared" si="4"/>
        <v>420.30888888888893</v>
      </c>
      <c r="M17" s="1">
        <f t="shared" si="4"/>
        <v>420.30888888888893</v>
      </c>
      <c r="N17" s="1">
        <f t="shared" si="4"/>
        <v>420.30888888888893</v>
      </c>
      <c r="O17" s="1">
        <f t="shared" si="4"/>
        <v>420.30888888888893</v>
      </c>
      <c r="P17" s="7">
        <f t="shared" si="2"/>
        <v>5043.706666666666</v>
      </c>
    </row>
    <row r="18" spans="1:16" x14ac:dyDescent="0.35">
      <c r="C18" s="6" t="s">
        <v>14</v>
      </c>
      <c r="D18" s="8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7">
        <f t="shared" si="2"/>
        <v>0</v>
      </c>
    </row>
    <row r="19" spans="1:16" x14ac:dyDescent="0.35">
      <c r="C19" s="6" t="s">
        <v>15</v>
      </c>
      <c r="D19" s="1">
        <f>(17737.94*0.6)/9</f>
        <v>1182.5293333333332</v>
      </c>
      <c r="E19" s="1">
        <f t="shared" ref="E19:O19" si="5">(17737.94*0.6)/9</f>
        <v>1182.5293333333332</v>
      </c>
      <c r="F19" s="1">
        <f t="shared" si="5"/>
        <v>1182.5293333333332</v>
      </c>
      <c r="G19" s="1">
        <f t="shared" si="5"/>
        <v>1182.5293333333332</v>
      </c>
      <c r="H19" s="1">
        <f t="shared" si="5"/>
        <v>1182.5293333333332</v>
      </c>
      <c r="I19" s="1">
        <f t="shared" si="5"/>
        <v>1182.5293333333332</v>
      </c>
      <c r="J19" s="1">
        <f t="shared" si="5"/>
        <v>1182.5293333333332</v>
      </c>
      <c r="K19" s="1">
        <f t="shared" si="5"/>
        <v>1182.5293333333332</v>
      </c>
      <c r="L19" s="1">
        <f t="shared" si="5"/>
        <v>1182.5293333333332</v>
      </c>
      <c r="M19" s="1">
        <f t="shared" si="5"/>
        <v>1182.5293333333332</v>
      </c>
      <c r="N19" s="1">
        <f t="shared" si="5"/>
        <v>1182.5293333333332</v>
      </c>
      <c r="O19" s="1">
        <f t="shared" si="5"/>
        <v>1182.5293333333332</v>
      </c>
      <c r="P19" s="7">
        <f t="shared" si="2"/>
        <v>14190.352000000001</v>
      </c>
    </row>
    <row r="20" spans="1:16" x14ac:dyDescent="0.35">
      <c r="C20" s="6" t="s">
        <v>16</v>
      </c>
      <c r="D20" s="1">
        <f>(45735.31*0.6)/9</f>
        <v>3049.0206666666663</v>
      </c>
      <c r="E20" s="1">
        <f t="shared" ref="E20:O20" si="6">(45735.31*0.6)/9</f>
        <v>3049.0206666666663</v>
      </c>
      <c r="F20" s="1">
        <f t="shared" si="6"/>
        <v>3049.0206666666663</v>
      </c>
      <c r="G20" s="1">
        <f t="shared" si="6"/>
        <v>3049.0206666666663</v>
      </c>
      <c r="H20" s="1">
        <f t="shared" si="6"/>
        <v>3049.0206666666663</v>
      </c>
      <c r="I20" s="1">
        <f t="shared" si="6"/>
        <v>3049.0206666666663</v>
      </c>
      <c r="J20" s="1">
        <f t="shared" si="6"/>
        <v>3049.0206666666663</v>
      </c>
      <c r="K20" s="1">
        <f t="shared" si="6"/>
        <v>3049.0206666666663</v>
      </c>
      <c r="L20" s="1">
        <f t="shared" si="6"/>
        <v>3049.0206666666663</v>
      </c>
      <c r="M20" s="1">
        <f t="shared" si="6"/>
        <v>3049.0206666666663</v>
      </c>
      <c r="N20" s="1">
        <f t="shared" si="6"/>
        <v>3049.0206666666663</v>
      </c>
      <c r="O20" s="1">
        <f t="shared" si="6"/>
        <v>3049.0206666666663</v>
      </c>
      <c r="P20" s="7">
        <f t="shared" si="2"/>
        <v>36588.248</v>
      </c>
    </row>
    <row r="21" spans="1:16" x14ac:dyDescent="0.35">
      <c r="C21" s="3" t="s">
        <v>17</v>
      </c>
      <c r="D21" s="1">
        <f>(7772.01*0.6)/9</f>
        <v>518.13400000000001</v>
      </c>
      <c r="E21" s="1">
        <f t="shared" ref="E21:O21" si="7">(7772.01*0.6)/9</f>
        <v>518.13400000000001</v>
      </c>
      <c r="F21" s="1">
        <f t="shared" si="7"/>
        <v>518.13400000000001</v>
      </c>
      <c r="G21" s="1">
        <f t="shared" si="7"/>
        <v>518.13400000000001</v>
      </c>
      <c r="H21" s="1">
        <f t="shared" si="7"/>
        <v>518.13400000000001</v>
      </c>
      <c r="I21" s="1">
        <f t="shared" si="7"/>
        <v>518.13400000000001</v>
      </c>
      <c r="J21" s="1">
        <f t="shared" si="7"/>
        <v>518.13400000000001</v>
      </c>
      <c r="K21" s="1">
        <f t="shared" si="7"/>
        <v>518.13400000000001</v>
      </c>
      <c r="L21" s="1">
        <f t="shared" si="7"/>
        <v>518.13400000000001</v>
      </c>
      <c r="M21" s="1">
        <f t="shared" si="7"/>
        <v>518.13400000000001</v>
      </c>
      <c r="N21" s="1">
        <f t="shared" si="7"/>
        <v>518.13400000000001</v>
      </c>
      <c r="O21" s="1">
        <f t="shared" si="7"/>
        <v>518.13400000000001</v>
      </c>
      <c r="P21" s="7">
        <f t="shared" si="2"/>
        <v>6217.6080000000002</v>
      </c>
    </row>
    <row r="22" spans="1:16" x14ac:dyDescent="0.35">
      <c r="C22" s="3" t="s">
        <v>18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5160</v>
      </c>
      <c r="P22" s="7">
        <f t="shared" si="2"/>
        <v>5160</v>
      </c>
    </row>
    <row r="23" spans="1:16" x14ac:dyDescent="0.35">
      <c r="C23" s="3" t="s">
        <v>19</v>
      </c>
      <c r="D23" s="1">
        <f>100/9</f>
        <v>11.111111111111111</v>
      </c>
      <c r="E23" s="1">
        <f t="shared" ref="E23:O23" si="8">100/9</f>
        <v>11.111111111111111</v>
      </c>
      <c r="F23" s="1">
        <f t="shared" si="8"/>
        <v>11.111111111111111</v>
      </c>
      <c r="G23" s="1">
        <f t="shared" si="8"/>
        <v>11.111111111111111</v>
      </c>
      <c r="H23" s="1">
        <f t="shared" si="8"/>
        <v>11.111111111111111</v>
      </c>
      <c r="I23" s="1">
        <f t="shared" si="8"/>
        <v>11.111111111111111</v>
      </c>
      <c r="J23" s="1">
        <f t="shared" si="8"/>
        <v>11.111111111111111</v>
      </c>
      <c r="K23" s="1">
        <f t="shared" si="8"/>
        <v>11.111111111111111</v>
      </c>
      <c r="L23" s="1">
        <f t="shared" si="8"/>
        <v>11.111111111111111</v>
      </c>
      <c r="M23" s="1">
        <f t="shared" si="8"/>
        <v>11.111111111111111</v>
      </c>
      <c r="N23" s="1">
        <f t="shared" si="8"/>
        <v>11.111111111111111</v>
      </c>
      <c r="O23" s="1">
        <f t="shared" si="8"/>
        <v>11.111111111111111</v>
      </c>
      <c r="P23" s="7">
        <f t="shared" si="2"/>
        <v>133.33333333333334</v>
      </c>
    </row>
    <row r="24" spans="1:16" x14ac:dyDescent="0.35">
      <c r="C24" s="6" t="s">
        <v>20</v>
      </c>
      <c r="D24" s="1">
        <f>(14913.05*0.6)/9</f>
        <v>994.20333333333338</v>
      </c>
      <c r="E24" s="1">
        <f t="shared" ref="E24:O24" si="9">(14913.05*0.6)/9</f>
        <v>994.20333333333338</v>
      </c>
      <c r="F24" s="1">
        <f t="shared" si="9"/>
        <v>994.20333333333338</v>
      </c>
      <c r="G24" s="1">
        <f t="shared" si="9"/>
        <v>994.20333333333338</v>
      </c>
      <c r="H24" s="1">
        <f t="shared" si="9"/>
        <v>994.20333333333338</v>
      </c>
      <c r="I24" s="1">
        <f t="shared" si="9"/>
        <v>994.20333333333338</v>
      </c>
      <c r="J24" s="1">
        <f t="shared" si="9"/>
        <v>994.20333333333338</v>
      </c>
      <c r="K24" s="1">
        <f t="shared" si="9"/>
        <v>994.20333333333338</v>
      </c>
      <c r="L24" s="1">
        <f t="shared" si="9"/>
        <v>994.20333333333338</v>
      </c>
      <c r="M24" s="1">
        <f t="shared" si="9"/>
        <v>994.20333333333338</v>
      </c>
      <c r="N24" s="1">
        <f t="shared" si="9"/>
        <v>994.20333333333338</v>
      </c>
      <c r="O24" s="1">
        <f t="shared" si="9"/>
        <v>994.20333333333338</v>
      </c>
      <c r="P24" s="7">
        <f t="shared" si="2"/>
        <v>11930.439999999997</v>
      </c>
    </row>
    <row r="25" spans="1:16" x14ac:dyDescent="0.35">
      <c r="C25" s="6" t="s">
        <v>21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7">
        <f t="shared" si="2"/>
        <v>0</v>
      </c>
    </row>
    <row r="26" spans="1:16" x14ac:dyDescent="0.35">
      <c r="C26" s="3" t="s">
        <v>22</v>
      </c>
      <c r="D26" s="8">
        <f>(5200.33*0.6)/9</f>
        <v>346.68866666666668</v>
      </c>
      <c r="E26" s="1">
        <f t="shared" ref="E26:O26" si="10">(5200.33*0.6)/9</f>
        <v>346.68866666666668</v>
      </c>
      <c r="F26" s="1">
        <f t="shared" si="10"/>
        <v>346.68866666666668</v>
      </c>
      <c r="G26" s="1">
        <f t="shared" si="10"/>
        <v>346.68866666666668</v>
      </c>
      <c r="H26" s="1">
        <f t="shared" si="10"/>
        <v>346.68866666666668</v>
      </c>
      <c r="I26" s="1">
        <f t="shared" si="10"/>
        <v>346.68866666666668</v>
      </c>
      <c r="J26" s="1">
        <f t="shared" si="10"/>
        <v>346.68866666666668</v>
      </c>
      <c r="K26" s="1">
        <f t="shared" si="10"/>
        <v>346.68866666666668</v>
      </c>
      <c r="L26" s="1">
        <f t="shared" si="10"/>
        <v>346.68866666666668</v>
      </c>
      <c r="M26" s="1">
        <f t="shared" si="10"/>
        <v>346.68866666666668</v>
      </c>
      <c r="N26" s="1">
        <f t="shared" si="10"/>
        <v>346.68866666666668</v>
      </c>
      <c r="O26" s="1">
        <f t="shared" si="10"/>
        <v>346.68866666666668</v>
      </c>
      <c r="P26" s="7">
        <f t="shared" si="2"/>
        <v>4160.264000000001</v>
      </c>
    </row>
    <row r="27" spans="1:16" x14ac:dyDescent="0.35">
      <c r="O27" s="9" t="s">
        <v>24</v>
      </c>
      <c r="P27" s="7">
        <f>SUM(P13:P26)</f>
        <v>90643.637999999992</v>
      </c>
    </row>
    <row r="29" spans="1:16" x14ac:dyDescent="0.35">
      <c r="A29" s="10"/>
      <c r="B29" s="11"/>
      <c r="C29" s="10" t="s">
        <v>24</v>
      </c>
      <c r="D29" s="11">
        <f>P27-D30</f>
        <v>27229.941999999995</v>
      </c>
      <c r="E29" s="11"/>
      <c r="F29" s="11"/>
    </row>
    <row r="30" spans="1:16" x14ac:dyDescent="0.35">
      <c r="A30" s="10"/>
      <c r="B30" s="11"/>
      <c r="C30" s="10" t="s">
        <v>25</v>
      </c>
      <c r="D30" s="13">
        <f>P16+P18+P19+P20+P24+P25</f>
        <v>63413.695999999996</v>
      </c>
      <c r="E30" s="11" t="s">
        <v>27</v>
      </c>
      <c r="F30" s="11"/>
    </row>
    <row r="31" spans="1:16" x14ac:dyDescent="0.35">
      <c r="A31" s="10"/>
      <c r="B31" s="11"/>
      <c r="C31" s="10" t="s">
        <v>26</v>
      </c>
      <c r="D31" s="11">
        <f>E31*F31</f>
        <v>561000</v>
      </c>
      <c r="E31" s="12">
        <v>1320</v>
      </c>
      <c r="F31" s="11">
        <v>425</v>
      </c>
    </row>
    <row r="32" spans="1:16" x14ac:dyDescent="0.35">
      <c r="D32" s="3">
        <f>SUM(D29:D31)</f>
        <v>651643.63800000004</v>
      </c>
    </row>
    <row r="34" spans="1:16" ht="18.5" x14ac:dyDescent="0.45">
      <c r="A34" s="5" t="s">
        <v>28</v>
      </c>
    </row>
    <row r="35" spans="1:16" x14ac:dyDescent="0.35">
      <c r="C35" s="3" t="s">
        <v>29</v>
      </c>
      <c r="D35" s="1">
        <f>18296.65/9</f>
        <v>2032.9611111111112</v>
      </c>
      <c r="E35" s="1">
        <f t="shared" ref="E35:O35" si="11">18296.65/9</f>
        <v>2032.9611111111112</v>
      </c>
      <c r="F35" s="1">
        <f t="shared" si="11"/>
        <v>2032.9611111111112</v>
      </c>
      <c r="G35" s="1">
        <f t="shared" si="11"/>
        <v>2032.9611111111112</v>
      </c>
      <c r="H35" s="1">
        <f t="shared" si="11"/>
        <v>2032.9611111111112</v>
      </c>
      <c r="I35" s="1">
        <f t="shared" si="11"/>
        <v>2032.9611111111112</v>
      </c>
      <c r="J35" s="1">
        <f t="shared" si="11"/>
        <v>2032.9611111111112</v>
      </c>
      <c r="K35" s="1">
        <f t="shared" si="11"/>
        <v>2032.9611111111112</v>
      </c>
      <c r="L35" s="1">
        <f t="shared" si="11"/>
        <v>2032.9611111111112</v>
      </c>
      <c r="M35" s="1">
        <f t="shared" si="11"/>
        <v>2032.9611111111112</v>
      </c>
      <c r="N35" s="1">
        <f t="shared" si="11"/>
        <v>2032.9611111111112</v>
      </c>
      <c r="O35" s="1">
        <f t="shared" si="11"/>
        <v>2032.9611111111112</v>
      </c>
      <c r="P35" s="7">
        <f t="shared" ref="P35:P61" si="12">SUM(D35:O35)</f>
        <v>24395.533333333336</v>
      </c>
    </row>
    <row r="36" spans="1:16" x14ac:dyDescent="0.35">
      <c r="C36" s="6" t="s">
        <v>30</v>
      </c>
      <c r="D36" s="1">
        <f>(3063/9)*1.8</f>
        <v>612.6</v>
      </c>
      <c r="E36" s="1">
        <f t="shared" ref="E36:O36" si="13">(3063/9)*1.8</f>
        <v>612.6</v>
      </c>
      <c r="F36" s="1">
        <f t="shared" si="13"/>
        <v>612.6</v>
      </c>
      <c r="G36" s="1">
        <f t="shared" si="13"/>
        <v>612.6</v>
      </c>
      <c r="H36" s="1">
        <f t="shared" si="13"/>
        <v>612.6</v>
      </c>
      <c r="I36" s="1">
        <f t="shared" si="13"/>
        <v>612.6</v>
      </c>
      <c r="J36" s="1">
        <f t="shared" si="13"/>
        <v>612.6</v>
      </c>
      <c r="K36" s="1">
        <f t="shared" si="13"/>
        <v>612.6</v>
      </c>
      <c r="L36" s="1">
        <f t="shared" si="13"/>
        <v>612.6</v>
      </c>
      <c r="M36" s="1">
        <f t="shared" si="13"/>
        <v>612.6</v>
      </c>
      <c r="N36" s="1">
        <f t="shared" si="13"/>
        <v>612.6</v>
      </c>
      <c r="O36" s="1">
        <f t="shared" si="13"/>
        <v>612.6</v>
      </c>
      <c r="P36" s="14">
        <f t="shared" si="12"/>
        <v>7351.2000000000016</v>
      </c>
    </row>
    <row r="37" spans="1:16" x14ac:dyDescent="0.35">
      <c r="C37" s="3" t="s">
        <v>31</v>
      </c>
      <c r="D37" s="8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2000</v>
      </c>
      <c r="P37" s="14">
        <f t="shared" si="12"/>
        <v>2000</v>
      </c>
    </row>
    <row r="38" spans="1:16" x14ac:dyDescent="0.35">
      <c r="C38" s="3" t="s">
        <v>32</v>
      </c>
      <c r="D38" s="8">
        <v>0</v>
      </c>
      <c r="E38" s="1">
        <v>0</v>
      </c>
      <c r="F38" s="1">
        <v>2000</v>
      </c>
      <c r="G38" s="1">
        <v>0</v>
      </c>
      <c r="H38" s="1">
        <v>0</v>
      </c>
      <c r="I38" s="1">
        <v>2000</v>
      </c>
      <c r="J38" s="1">
        <v>0</v>
      </c>
      <c r="K38" s="1">
        <v>2000</v>
      </c>
      <c r="L38" s="1">
        <v>0</v>
      </c>
      <c r="M38" s="1">
        <v>2000</v>
      </c>
      <c r="N38" s="1">
        <v>0</v>
      </c>
      <c r="O38" s="1">
        <v>2000</v>
      </c>
      <c r="P38" s="14">
        <f t="shared" si="12"/>
        <v>10000</v>
      </c>
    </row>
    <row r="39" spans="1:16" x14ac:dyDescent="0.35">
      <c r="C39" s="3" t="s">
        <v>33</v>
      </c>
      <c r="D39" s="8">
        <v>500</v>
      </c>
      <c r="E39" s="1">
        <v>500</v>
      </c>
      <c r="F39" s="1">
        <v>500</v>
      </c>
      <c r="G39" s="1">
        <v>500</v>
      </c>
      <c r="H39" s="1">
        <v>500</v>
      </c>
      <c r="I39" s="1">
        <v>500</v>
      </c>
      <c r="J39" s="1">
        <v>500</v>
      </c>
      <c r="K39" s="1">
        <v>500</v>
      </c>
      <c r="L39" s="1">
        <v>500</v>
      </c>
      <c r="M39" s="1">
        <v>500</v>
      </c>
      <c r="N39" s="1">
        <v>500</v>
      </c>
      <c r="O39" s="1">
        <v>500</v>
      </c>
      <c r="P39" s="14">
        <f t="shared" si="12"/>
        <v>6000</v>
      </c>
    </row>
    <row r="40" spans="1:16" x14ac:dyDescent="0.35">
      <c r="C40" s="3" t="s">
        <v>34</v>
      </c>
      <c r="D40" s="8">
        <v>5000</v>
      </c>
      <c r="E40" s="8">
        <v>5000</v>
      </c>
      <c r="F40" s="8">
        <v>5000</v>
      </c>
      <c r="G40" s="8">
        <v>5000</v>
      </c>
      <c r="H40" s="8">
        <v>5000</v>
      </c>
      <c r="I40" s="8">
        <v>5000</v>
      </c>
      <c r="J40" s="8">
        <v>5000</v>
      </c>
      <c r="K40" s="8">
        <v>5000</v>
      </c>
      <c r="L40" s="8">
        <v>5000</v>
      </c>
      <c r="M40" s="8">
        <v>5000</v>
      </c>
      <c r="N40" s="8">
        <v>5000</v>
      </c>
      <c r="O40" s="8">
        <v>5000</v>
      </c>
      <c r="P40" s="14">
        <f t="shared" si="12"/>
        <v>60000</v>
      </c>
    </row>
    <row r="41" spans="1:16" x14ac:dyDescent="0.35">
      <c r="C41" s="3" t="s">
        <v>35</v>
      </c>
      <c r="D41" s="8">
        <v>2000</v>
      </c>
      <c r="E41" s="1">
        <v>2000</v>
      </c>
      <c r="F41" s="1">
        <v>2000</v>
      </c>
      <c r="G41" s="1">
        <v>2000</v>
      </c>
      <c r="H41" s="1">
        <v>2000</v>
      </c>
      <c r="I41" s="1">
        <v>2000</v>
      </c>
      <c r="J41" s="1">
        <v>2000</v>
      </c>
      <c r="K41" s="1">
        <v>2000</v>
      </c>
      <c r="L41" s="1">
        <v>2000</v>
      </c>
      <c r="M41" s="1">
        <v>2000</v>
      </c>
      <c r="N41" s="1">
        <v>2000</v>
      </c>
      <c r="O41" s="1">
        <v>2000</v>
      </c>
      <c r="P41" s="14">
        <f t="shared" si="12"/>
        <v>24000</v>
      </c>
    </row>
    <row r="42" spans="1:16" x14ac:dyDescent="0.35">
      <c r="C42" s="3" t="s">
        <v>36</v>
      </c>
      <c r="D42" s="1">
        <v>4200</v>
      </c>
      <c r="E42" s="1">
        <v>4200</v>
      </c>
      <c r="F42" s="1">
        <v>4200</v>
      </c>
      <c r="G42" s="1">
        <v>4200</v>
      </c>
      <c r="H42" s="1">
        <v>4200</v>
      </c>
      <c r="I42" s="1">
        <v>4200</v>
      </c>
      <c r="J42" s="1">
        <v>4200</v>
      </c>
      <c r="K42" s="1">
        <v>4200</v>
      </c>
      <c r="L42" s="1">
        <v>4200</v>
      </c>
      <c r="M42" s="1">
        <v>4200</v>
      </c>
      <c r="N42" s="1">
        <v>4200</v>
      </c>
      <c r="O42" s="1">
        <v>4200</v>
      </c>
      <c r="P42" s="14">
        <f t="shared" si="12"/>
        <v>50400</v>
      </c>
    </row>
    <row r="43" spans="1:16" x14ac:dyDescent="0.35">
      <c r="C43" s="3" t="s">
        <v>37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12000</v>
      </c>
      <c r="N43" s="1">
        <v>0</v>
      </c>
      <c r="O43" s="1">
        <v>0</v>
      </c>
      <c r="P43" s="14">
        <f t="shared" si="12"/>
        <v>12000</v>
      </c>
    </row>
    <row r="44" spans="1:16" x14ac:dyDescent="0.35">
      <c r="C44" s="3" t="s">
        <v>38</v>
      </c>
      <c r="D44" s="1">
        <f>25101/9</f>
        <v>2789</v>
      </c>
      <c r="E44" s="1">
        <f t="shared" ref="E44:O44" si="14">25101/9</f>
        <v>2789</v>
      </c>
      <c r="F44" s="1">
        <f t="shared" si="14"/>
        <v>2789</v>
      </c>
      <c r="G44" s="1">
        <f t="shared" si="14"/>
        <v>2789</v>
      </c>
      <c r="H44" s="1">
        <f t="shared" si="14"/>
        <v>2789</v>
      </c>
      <c r="I44" s="1">
        <f t="shared" si="14"/>
        <v>2789</v>
      </c>
      <c r="J44" s="1">
        <f t="shared" si="14"/>
        <v>2789</v>
      </c>
      <c r="K44" s="1">
        <f t="shared" si="14"/>
        <v>2789</v>
      </c>
      <c r="L44" s="1">
        <f t="shared" si="14"/>
        <v>2789</v>
      </c>
      <c r="M44" s="1">
        <f t="shared" si="14"/>
        <v>2789</v>
      </c>
      <c r="N44" s="1">
        <f t="shared" si="14"/>
        <v>2789</v>
      </c>
      <c r="O44" s="1">
        <f t="shared" si="14"/>
        <v>2789</v>
      </c>
      <c r="P44" s="14">
        <f t="shared" si="12"/>
        <v>33468</v>
      </c>
    </row>
    <row r="45" spans="1:16" x14ac:dyDescent="0.35">
      <c r="C45" s="3" t="s">
        <v>39</v>
      </c>
      <c r="D45" s="8">
        <v>13000</v>
      </c>
      <c r="E45" s="15">
        <v>13000</v>
      </c>
      <c r="F45" s="15">
        <v>13000</v>
      </c>
      <c r="G45" s="15">
        <v>13000</v>
      </c>
      <c r="H45" s="15">
        <v>13000</v>
      </c>
      <c r="I45" s="15">
        <v>13000</v>
      </c>
      <c r="J45" s="15">
        <v>13000</v>
      </c>
      <c r="K45" s="15">
        <v>13000</v>
      </c>
      <c r="L45" s="15">
        <v>13000</v>
      </c>
      <c r="M45" s="15">
        <v>13000</v>
      </c>
      <c r="N45" s="15">
        <v>13000</v>
      </c>
      <c r="O45" s="15">
        <v>13000</v>
      </c>
      <c r="P45" s="14">
        <f t="shared" si="12"/>
        <v>156000</v>
      </c>
    </row>
    <row r="46" spans="1:16" x14ac:dyDescent="0.35">
      <c r="C46" s="3" t="s">
        <v>40</v>
      </c>
      <c r="D46" s="8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4">
        <f t="shared" si="12"/>
        <v>0</v>
      </c>
    </row>
    <row r="47" spans="1:16" x14ac:dyDescent="0.35">
      <c r="C47" s="3" t="s">
        <v>41</v>
      </c>
      <c r="D47" s="1">
        <f>866.65/9</f>
        <v>96.294444444444437</v>
      </c>
      <c r="E47" s="1">
        <f t="shared" ref="E47:O47" si="15">866.65/9</f>
        <v>96.294444444444437</v>
      </c>
      <c r="F47" s="1">
        <f t="shared" si="15"/>
        <v>96.294444444444437</v>
      </c>
      <c r="G47" s="1">
        <f t="shared" si="15"/>
        <v>96.294444444444437</v>
      </c>
      <c r="H47" s="1">
        <f t="shared" si="15"/>
        <v>96.294444444444437</v>
      </c>
      <c r="I47" s="1">
        <f t="shared" si="15"/>
        <v>96.294444444444437</v>
      </c>
      <c r="J47" s="1">
        <f t="shared" si="15"/>
        <v>96.294444444444437</v>
      </c>
      <c r="K47" s="1">
        <f t="shared" si="15"/>
        <v>96.294444444444437</v>
      </c>
      <c r="L47" s="1">
        <f t="shared" si="15"/>
        <v>96.294444444444437</v>
      </c>
      <c r="M47" s="1">
        <f t="shared" si="15"/>
        <v>96.294444444444437</v>
      </c>
      <c r="N47" s="1">
        <f t="shared" si="15"/>
        <v>96.294444444444437</v>
      </c>
      <c r="O47" s="1">
        <f t="shared" si="15"/>
        <v>96.294444444444437</v>
      </c>
      <c r="P47" s="14">
        <f t="shared" si="12"/>
        <v>1155.5333333333335</v>
      </c>
    </row>
    <row r="48" spans="1:16" x14ac:dyDescent="0.35">
      <c r="C48" s="6" t="s">
        <v>42</v>
      </c>
      <c r="D48" s="1">
        <f>(32181.62/9)*2</f>
        <v>7151.471111111111</v>
      </c>
      <c r="E48" s="1">
        <f t="shared" ref="E48:O48" si="16">(32181.62/9)*2</f>
        <v>7151.471111111111</v>
      </c>
      <c r="F48" s="1">
        <f t="shared" si="16"/>
        <v>7151.471111111111</v>
      </c>
      <c r="G48" s="1">
        <f t="shared" si="16"/>
        <v>7151.471111111111</v>
      </c>
      <c r="H48" s="1">
        <f t="shared" si="16"/>
        <v>7151.471111111111</v>
      </c>
      <c r="I48" s="1">
        <f t="shared" si="16"/>
        <v>7151.471111111111</v>
      </c>
      <c r="J48" s="1">
        <f t="shared" si="16"/>
        <v>7151.471111111111</v>
      </c>
      <c r="K48" s="1">
        <f t="shared" si="16"/>
        <v>7151.471111111111</v>
      </c>
      <c r="L48" s="1">
        <f t="shared" si="16"/>
        <v>7151.471111111111</v>
      </c>
      <c r="M48" s="1">
        <f t="shared" si="16"/>
        <v>7151.471111111111</v>
      </c>
      <c r="N48" s="1">
        <f t="shared" si="16"/>
        <v>7151.471111111111</v>
      </c>
      <c r="O48" s="1">
        <f t="shared" si="16"/>
        <v>7151.471111111111</v>
      </c>
      <c r="P48" s="14">
        <f t="shared" si="12"/>
        <v>85817.653333333335</v>
      </c>
    </row>
    <row r="49" spans="3:16" x14ac:dyDescent="0.35">
      <c r="C49" s="3" t="s">
        <v>43</v>
      </c>
      <c r="D49" s="1">
        <f>3000/12</f>
        <v>250</v>
      </c>
      <c r="E49" s="1">
        <f t="shared" ref="E49:O49" si="17">3000/12</f>
        <v>250</v>
      </c>
      <c r="F49" s="1">
        <f t="shared" si="17"/>
        <v>250</v>
      </c>
      <c r="G49" s="1">
        <f t="shared" si="17"/>
        <v>250</v>
      </c>
      <c r="H49" s="1">
        <f t="shared" si="17"/>
        <v>250</v>
      </c>
      <c r="I49" s="1">
        <f t="shared" si="17"/>
        <v>250</v>
      </c>
      <c r="J49" s="1">
        <f t="shared" si="17"/>
        <v>250</v>
      </c>
      <c r="K49" s="1">
        <f t="shared" si="17"/>
        <v>250</v>
      </c>
      <c r="L49" s="1">
        <f t="shared" si="17"/>
        <v>250</v>
      </c>
      <c r="M49" s="1">
        <f t="shared" si="17"/>
        <v>250</v>
      </c>
      <c r="N49" s="1">
        <f t="shared" si="17"/>
        <v>250</v>
      </c>
      <c r="O49" s="1">
        <f t="shared" si="17"/>
        <v>250</v>
      </c>
      <c r="P49" s="14">
        <f t="shared" si="12"/>
        <v>3000</v>
      </c>
    </row>
    <row r="50" spans="3:16" x14ac:dyDescent="0.35">
      <c r="C50" s="3" t="s">
        <v>44</v>
      </c>
      <c r="D50" s="1">
        <f>60000/12</f>
        <v>5000</v>
      </c>
      <c r="E50" s="1">
        <f t="shared" ref="E50:O50" si="18">60000/12</f>
        <v>5000</v>
      </c>
      <c r="F50" s="1">
        <f t="shared" si="18"/>
        <v>5000</v>
      </c>
      <c r="G50" s="1">
        <f t="shared" si="18"/>
        <v>5000</v>
      </c>
      <c r="H50" s="1">
        <f t="shared" si="18"/>
        <v>5000</v>
      </c>
      <c r="I50" s="1">
        <f t="shared" si="18"/>
        <v>5000</v>
      </c>
      <c r="J50" s="1">
        <f t="shared" si="18"/>
        <v>5000</v>
      </c>
      <c r="K50" s="1">
        <f t="shared" si="18"/>
        <v>5000</v>
      </c>
      <c r="L50" s="1">
        <f t="shared" si="18"/>
        <v>5000</v>
      </c>
      <c r="M50" s="1">
        <f t="shared" si="18"/>
        <v>5000</v>
      </c>
      <c r="N50" s="1">
        <f t="shared" si="18"/>
        <v>5000</v>
      </c>
      <c r="O50" s="1">
        <f t="shared" si="18"/>
        <v>5000</v>
      </c>
      <c r="P50" s="14">
        <f t="shared" si="12"/>
        <v>60000</v>
      </c>
    </row>
    <row r="51" spans="3:16" x14ac:dyDescent="0.35">
      <c r="C51" s="3" t="s">
        <v>45</v>
      </c>
      <c r="D51" s="1">
        <f>35000/12</f>
        <v>2916.6666666666665</v>
      </c>
      <c r="E51" s="1">
        <f t="shared" ref="E51:O51" si="19">35000/12</f>
        <v>2916.6666666666665</v>
      </c>
      <c r="F51" s="1">
        <f t="shared" si="19"/>
        <v>2916.6666666666665</v>
      </c>
      <c r="G51" s="1">
        <f t="shared" si="19"/>
        <v>2916.6666666666665</v>
      </c>
      <c r="H51" s="1">
        <f t="shared" si="19"/>
        <v>2916.6666666666665</v>
      </c>
      <c r="I51" s="1">
        <f t="shared" si="19"/>
        <v>2916.6666666666665</v>
      </c>
      <c r="J51" s="1">
        <f t="shared" si="19"/>
        <v>2916.6666666666665</v>
      </c>
      <c r="K51" s="1">
        <f t="shared" si="19"/>
        <v>2916.6666666666665</v>
      </c>
      <c r="L51" s="1">
        <f t="shared" si="19"/>
        <v>2916.6666666666665</v>
      </c>
      <c r="M51" s="1">
        <f t="shared" si="19"/>
        <v>2916.6666666666665</v>
      </c>
      <c r="N51" s="1">
        <f t="shared" si="19"/>
        <v>2916.6666666666665</v>
      </c>
      <c r="O51" s="1">
        <f t="shared" si="19"/>
        <v>2916.6666666666665</v>
      </c>
      <c r="P51" s="14">
        <f t="shared" si="12"/>
        <v>35000.000000000007</v>
      </c>
    </row>
    <row r="52" spans="3:16" x14ac:dyDescent="0.35">
      <c r="C52" s="3" t="s">
        <v>46</v>
      </c>
      <c r="D52" s="1">
        <v>2100</v>
      </c>
      <c r="E52" s="1">
        <v>2100</v>
      </c>
      <c r="F52" s="1">
        <v>2100</v>
      </c>
      <c r="G52" s="1">
        <v>2100</v>
      </c>
      <c r="H52" s="1">
        <v>2100</v>
      </c>
      <c r="I52" s="1">
        <v>2100</v>
      </c>
      <c r="J52" s="1">
        <v>2100</v>
      </c>
      <c r="K52" s="1">
        <v>2100</v>
      </c>
      <c r="L52" s="1">
        <v>2100</v>
      </c>
      <c r="M52" s="1">
        <v>2100</v>
      </c>
      <c r="N52" s="1">
        <v>2100</v>
      </c>
      <c r="O52" s="1">
        <v>2100</v>
      </c>
      <c r="P52" s="14">
        <f t="shared" si="12"/>
        <v>25200</v>
      </c>
    </row>
    <row r="53" spans="3:16" x14ac:dyDescent="0.35">
      <c r="C53" s="3" t="s">
        <v>47</v>
      </c>
      <c r="D53" s="1">
        <v>85</v>
      </c>
      <c r="E53" s="1">
        <v>85</v>
      </c>
      <c r="F53" s="1">
        <v>85</v>
      </c>
      <c r="G53" s="1">
        <v>85</v>
      </c>
      <c r="H53" s="1">
        <v>85</v>
      </c>
      <c r="I53" s="1">
        <v>85</v>
      </c>
      <c r="J53" s="1">
        <v>85</v>
      </c>
      <c r="K53" s="1">
        <v>85</v>
      </c>
      <c r="L53" s="1">
        <v>85</v>
      </c>
      <c r="M53" s="1">
        <v>85</v>
      </c>
      <c r="N53" s="1">
        <v>85</v>
      </c>
      <c r="O53" s="1">
        <v>85</v>
      </c>
      <c r="P53" s="14">
        <f t="shared" si="12"/>
        <v>1020</v>
      </c>
    </row>
    <row r="54" spans="3:16" x14ac:dyDescent="0.35">
      <c r="C54" s="3" t="s">
        <v>48</v>
      </c>
      <c r="D54" s="1">
        <v>37.5</v>
      </c>
      <c r="E54" s="1">
        <v>37.5</v>
      </c>
      <c r="F54" s="1">
        <v>37.5</v>
      </c>
      <c r="G54" s="1">
        <v>37.5</v>
      </c>
      <c r="H54" s="1">
        <v>37.5</v>
      </c>
      <c r="I54" s="1">
        <v>37.5</v>
      </c>
      <c r="J54" s="1">
        <v>37.5</v>
      </c>
      <c r="K54" s="1">
        <v>37.5</v>
      </c>
      <c r="L54" s="1">
        <v>37.5</v>
      </c>
      <c r="M54" s="1">
        <v>37.5</v>
      </c>
      <c r="N54" s="1">
        <v>37.5</v>
      </c>
      <c r="O54" s="1">
        <v>37.5</v>
      </c>
      <c r="P54" s="14">
        <f t="shared" si="12"/>
        <v>450</v>
      </c>
    </row>
    <row r="55" spans="3:16" x14ac:dyDescent="0.35">
      <c r="C55" s="3" t="s">
        <v>49</v>
      </c>
      <c r="D55" s="1">
        <v>10</v>
      </c>
      <c r="E55" s="1">
        <v>10</v>
      </c>
      <c r="F55" s="1">
        <v>10</v>
      </c>
      <c r="G55" s="1">
        <v>10</v>
      </c>
      <c r="H55" s="1">
        <v>10</v>
      </c>
      <c r="I55" s="1">
        <v>10</v>
      </c>
      <c r="J55" s="1">
        <v>10</v>
      </c>
      <c r="K55" s="1">
        <v>10</v>
      </c>
      <c r="L55" s="1">
        <v>10</v>
      </c>
      <c r="M55" s="1">
        <v>10</v>
      </c>
      <c r="N55" s="1">
        <v>10</v>
      </c>
      <c r="O55" s="1">
        <v>10</v>
      </c>
      <c r="P55" s="14">
        <f t="shared" si="12"/>
        <v>120</v>
      </c>
    </row>
    <row r="56" spans="3:16" x14ac:dyDescent="0.35">
      <c r="C56" s="3" t="s">
        <v>50</v>
      </c>
      <c r="D56" s="1">
        <v>525</v>
      </c>
      <c r="E56" s="1">
        <v>525</v>
      </c>
      <c r="F56" s="1">
        <v>525</v>
      </c>
      <c r="G56" s="1">
        <v>525</v>
      </c>
      <c r="H56" s="1">
        <v>525</v>
      </c>
      <c r="I56" s="1">
        <v>525</v>
      </c>
      <c r="J56" s="1">
        <v>525</v>
      </c>
      <c r="K56" s="1">
        <v>525</v>
      </c>
      <c r="L56" s="1">
        <v>525</v>
      </c>
      <c r="M56" s="1">
        <v>525</v>
      </c>
      <c r="N56" s="1">
        <v>525</v>
      </c>
      <c r="O56" s="1">
        <v>525</v>
      </c>
      <c r="P56" s="14">
        <f t="shared" si="12"/>
        <v>6300</v>
      </c>
    </row>
    <row r="57" spans="3:16" x14ac:dyDescent="0.35">
      <c r="C57" s="3" t="s">
        <v>51</v>
      </c>
      <c r="D57" s="1">
        <v>550</v>
      </c>
      <c r="E57" s="1">
        <v>550</v>
      </c>
      <c r="F57" s="1">
        <v>550</v>
      </c>
      <c r="G57" s="1">
        <v>550</v>
      </c>
      <c r="H57" s="1">
        <v>550</v>
      </c>
      <c r="I57" s="1">
        <v>550</v>
      </c>
      <c r="J57" s="1">
        <v>550</v>
      </c>
      <c r="K57" s="1">
        <v>550</v>
      </c>
      <c r="L57" s="1">
        <v>550</v>
      </c>
      <c r="M57" s="1">
        <v>550</v>
      </c>
      <c r="N57" s="1">
        <v>550</v>
      </c>
      <c r="O57" s="1">
        <v>550</v>
      </c>
      <c r="P57" s="14">
        <f t="shared" si="12"/>
        <v>6600</v>
      </c>
    </row>
    <row r="58" spans="3:16" x14ac:dyDescent="0.35">
      <c r="C58" s="3" t="s">
        <v>52</v>
      </c>
      <c r="D58" s="1">
        <f>1800/12</f>
        <v>150</v>
      </c>
      <c r="E58" s="1">
        <f t="shared" ref="E58:O58" si="20">1800/12</f>
        <v>150</v>
      </c>
      <c r="F58" s="1">
        <f t="shared" si="20"/>
        <v>150</v>
      </c>
      <c r="G58" s="1">
        <f t="shared" si="20"/>
        <v>150</v>
      </c>
      <c r="H58" s="1">
        <f t="shared" si="20"/>
        <v>150</v>
      </c>
      <c r="I58" s="1">
        <f t="shared" si="20"/>
        <v>150</v>
      </c>
      <c r="J58" s="1">
        <f t="shared" si="20"/>
        <v>150</v>
      </c>
      <c r="K58" s="1">
        <f t="shared" si="20"/>
        <v>150</v>
      </c>
      <c r="L58" s="1">
        <f t="shared" si="20"/>
        <v>150</v>
      </c>
      <c r="M58" s="1">
        <f t="shared" si="20"/>
        <v>150</v>
      </c>
      <c r="N58" s="1">
        <f t="shared" si="20"/>
        <v>150</v>
      </c>
      <c r="O58" s="1">
        <f t="shared" si="20"/>
        <v>150</v>
      </c>
      <c r="P58" s="14">
        <f t="shared" si="12"/>
        <v>1800</v>
      </c>
    </row>
    <row r="59" spans="3:16" x14ac:dyDescent="0.35">
      <c r="C59" s="3" t="s">
        <v>53</v>
      </c>
      <c r="D59" s="1">
        <f>16860/12</f>
        <v>1405</v>
      </c>
      <c r="E59" s="1">
        <f t="shared" ref="E59:O59" si="21">16860/12</f>
        <v>1405</v>
      </c>
      <c r="F59" s="1">
        <f t="shared" si="21"/>
        <v>1405</v>
      </c>
      <c r="G59" s="1">
        <f t="shared" si="21"/>
        <v>1405</v>
      </c>
      <c r="H59" s="1">
        <f t="shared" si="21"/>
        <v>1405</v>
      </c>
      <c r="I59" s="1">
        <f t="shared" si="21"/>
        <v>1405</v>
      </c>
      <c r="J59" s="1">
        <f t="shared" si="21"/>
        <v>1405</v>
      </c>
      <c r="K59" s="1">
        <f t="shared" si="21"/>
        <v>1405</v>
      </c>
      <c r="L59" s="1">
        <f t="shared" si="21"/>
        <v>1405</v>
      </c>
      <c r="M59" s="1">
        <f t="shared" si="21"/>
        <v>1405</v>
      </c>
      <c r="N59" s="1">
        <f t="shared" si="21"/>
        <v>1405</v>
      </c>
      <c r="O59" s="1">
        <f t="shared" si="21"/>
        <v>1405</v>
      </c>
      <c r="P59" s="14">
        <f t="shared" si="12"/>
        <v>16860</v>
      </c>
    </row>
    <row r="60" spans="3:16" x14ac:dyDescent="0.35">
      <c r="C60" s="3" t="s">
        <v>54</v>
      </c>
      <c r="D60" s="8">
        <v>600</v>
      </c>
      <c r="E60" s="8">
        <v>600</v>
      </c>
      <c r="F60" s="8">
        <v>600</v>
      </c>
      <c r="G60" s="8">
        <v>600</v>
      </c>
      <c r="H60" s="8">
        <v>600</v>
      </c>
      <c r="I60" s="8">
        <v>600</v>
      </c>
      <c r="J60" s="8">
        <v>600</v>
      </c>
      <c r="K60" s="8">
        <v>600</v>
      </c>
      <c r="L60" s="8">
        <v>600</v>
      </c>
      <c r="M60" s="8">
        <v>600</v>
      </c>
      <c r="N60" s="8">
        <v>600</v>
      </c>
      <c r="O60" s="8">
        <v>600</v>
      </c>
      <c r="P60" s="14">
        <f t="shared" si="12"/>
        <v>7200</v>
      </c>
    </row>
    <row r="61" spans="3:16" x14ac:dyDescent="0.35">
      <c r="C61" s="3" t="s">
        <v>55</v>
      </c>
      <c r="D61" s="8">
        <f>3268.78/9</f>
        <v>363.19777777777779</v>
      </c>
      <c r="E61" s="1">
        <f t="shared" ref="E61:O61" si="22">3268.78/9</f>
        <v>363.19777777777779</v>
      </c>
      <c r="F61" s="1">
        <f t="shared" si="22"/>
        <v>363.19777777777779</v>
      </c>
      <c r="G61" s="1">
        <f t="shared" si="22"/>
        <v>363.19777777777779</v>
      </c>
      <c r="H61" s="1">
        <f t="shared" si="22"/>
        <v>363.19777777777779</v>
      </c>
      <c r="I61" s="1">
        <f t="shared" si="22"/>
        <v>363.19777777777779</v>
      </c>
      <c r="J61" s="1">
        <f t="shared" si="22"/>
        <v>363.19777777777779</v>
      </c>
      <c r="K61" s="1">
        <f t="shared" si="22"/>
        <v>363.19777777777779</v>
      </c>
      <c r="L61" s="1">
        <f t="shared" si="22"/>
        <v>363.19777777777779</v>
      </c>
      <c r="M61" s="1">
        <f t="shared" si="22"/>
        <v>363.19777777777779</v>
      </c>
      <c r="N61" s="1">
        <f t="shared" si="22"/>
        <v>363.19777777777779</v>
      </c>
      <c r="O61" s="1">
        <f t="shared" si="22"/>
        <v>363.19777777777779</v>
      </c>
      <c r="P61" s="14">
        <f t="shared" si="12"/>
        <v>4358.3733333333339</v>
      </c>
    </row>
    <row r="62" spans="3:16" x14ac:dyDescent="0.35">
      <c r="O62" s="9" t="s">
        <v>56</v>
      </c>
      <c r="P62" s="7">
        <f>SUM(P35:P61)</f>
        <v>640496.29333333322</v>
      </c>
    </row>
    <row r="64" spans="3:16" x14ac:dyDescent="0.35">
      <c r="C64" s="10" t="s">
        <v>24</v>
      </c>
      <c r="D64" s="11">
        <f>D29</f>
        <v>27229.941999999995</v>
      </c>
    </row>
    <row r="65" spans="3:4" x14ac:dyDescent="0.35">
      <c r="C65" s="10" t="s">
        <v>25</v>
      </c>
      <c r="D65" s="13">
        <f>D30</f>
        <v>63413.695999999996</v>
      </c>
    </row>
    <row r="66" spans="3:4" x14ac:dyDescent="0.35">
      <c r="C66" s="10" t="s">
        <v>26</v>
      </c>
      <c r="D66" s="11">
        <f>D31</f>
        <v>561000</v>
      </c>
    </row>
    <row r="67" spans="3:4" x14ac:dyDescent="0.35">
      <c r="D67" s="3">
        <f>SUM(D64:D66)</f>
        <v>651643.63800000004</v>
      </c>
    </row>
    <row r="69" spans="3:4" x14ac:dyDescent="0.35">
      <c r="C69" s="3" t="s">
        <v>57</v>
      </c>
      <c r="D69" s="1">
        <f>D64+D66</f>
        <v>588229.94200000004</v>
      </c>
    </row>
    <row r="70" spans="3:4" x14ac:dyDescent="0.35">
      <c r="C70" s="3" t="s">
        <v>58</v>
      </c>
      <c r="D70" s="1">
        <f>D67-D69</f>
        <v>63413.695999999996</v>
      </c>
    </row>
    <row r="71" spans="3:4" x14ac:dyDescent="0.35">
      <c r="C71" s="3" t="s">
        <v>59</v>
      </c>
      <c r="D71" s="1">
        <f>D70-D65</f>
        <v>0</v>
      </c>
    </row>
  </sheetData>
  <pageMargins left="0.25" right="0.25" top="0.75" bottom="0.75" header="0.3" footer="0.3"/>
  <pageSetup orientation="landscape" r:id="rId1"/>
  <rowBreaks count="2" manualBreakCount="2">
    <brk id="32" max="16383" man="1"/>
    <brk id="6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00CD-37DC-4CB6-81DF-4CF81C1B27FE}">
  <sheetPr>
    <pageSetUpPr fitToPage="1"/>
  </sheetPr>
  <dimension ref="A1:P27"/>
  <sheetViews>
    <sheetView workbookViewId="0"/>
  </sheetViews>
  <sheetFormatPr defaultRowHeight="14.5" x14ac:dyDescent="0.35"/>
  <cols>
    <col min="1" max="1" width="8.7265625" style="2"/>
    <col min="2" max="2" width="12.08984375" style="1" bestFit="1" customWidth="1"/>
    <col min="3" max="3" width="34.6328125" style="3" bestFit="1" customWidth="1"/>
    <col min="4" max="4" width="12.08984375" style="1" bestFit="1" customWidth="1"/>
    <col min="5" max="14" width="11.08984375" style="1" bestFit="1" customWidth="1"/>
    <col min="15" max="15" width="12.453125" customWidth="1"/>
    <col min="16" max="16" width="12.1796875" style="2" bestFit="1" customWidth="1"/>
  </cols>
  <sheetData>
    <row r="1" spans="1:16" s="2" customFormat="1" x14ac:dyDescent="0.35">
      <c r="D1" s="4">
        <v>44584</v>
      </c>
      <c r="E1" s="4">
        <v>44615</v>
      </c>
      <c r="F1" s="4">
        <v>44643</v>
      </c>
      <c r="G1" s="4">
        <v>44674</v>
      </c>
      <c r="H1" s="4">
        <v>44704</v>
      </c>
      <c r="I1" s="4">
        <v>44735</v>
      </c>
      <c r="J1" s="4">
        <v>44765</v>
      </c>
      <c r="K1" s="4">
        <v>44796</v>
      </c>
      <c r="L1" s="4">
        <v>44827</v>
      </c>
      <c r="M1" s="4">
        <v>44857</v>
      </c>
      <c r="N1" s="4">
        <v>44888</v>
      </c>
      <c r="O1" s="4">
        <v>44918</v>
      </c>
      <c r="P1" s="3" t="s">
        <v>0</v>
      </c>
    </row>
    <row r="2" spans="1:16" ht="18.5" x14ac:dyDescent="0.45">
      <c r="A2" s="5" t="s">
        <v>60</v>
      </c>
    </row>
    <row r="3" spans="1:16" x14ac:dyDescent="0.35">
      <c r="C3" s="3" t="s">
        <v>61</v>
      </c>
      <c r="D3" s="1">
        <f>323676/12</f>
        <v>26973</v>
      </c>
      <c r="E3" s="1">
        <f t="shared" ref="E3:O3" si="0">323676/12</f>
        <v>26973</v>
      </c>
      <c r="F3" s="1">
        <f t="shared" si="0"/>
        <v>26973</v>
      </c>
      <c r="G3" s="1">
        <f t="shared" si="0"/>
        <v>26973</v>
      </c>
      <c r="H3" s="1">
        <f t="shared" si="0"/>
        <v>26973</v>
      </c>
      <c r="I3" s="1">
        <f t="shared" si="0"/>
        <v>26973</v>
      </c>
      <c r="J3" s="1">
        <f t="shared" si="0"/>
        <v>26973</v>
      </c>
      <c r="K3" s="1">
        <f t="shared" si="0"/>
        <v>26973</v>
      </c>
      <c r="L3" s="1">
        <f t="shared" si="0"/>
        <v>26973</v>
      </c>
      <c r="M3" s="1">
        <f t="shared" si="0"/>
        <v>26973</v>
      </c>
      <c r="N3" s="1">
        <f t="shared" si="0"/>
        <v>26973</v>
      </c>
      <c r="O3" s="1">
        <f t="shared" si="0"/>
        <v>26973</v>
      </c>
      <c r="P3" s="7">
        <f>SUM(D3:O3)</f>
        <v>323676</v>
      </c>
    </row>
    <row r="4" spans="1:16" x14ac:dyDescent="0.35">
      <c r="C4" s="3" t="s">
        <v>62</v>
      </c>
      <c r="D4" s="15">
        <v>400</v>
      </c>
      <c r="E4" s="15">
        <v>400</v>
      </c>
      <c r="F4" s="15">
        <v>400</v>
      </c>
      <c r="G4" s="15">
        <v>400</v>
      </c>
      <c r="H4" s="15">
        <v>400</v>
      </c>
      <c r="I4" s="15">
        <v>400</v>
      </c>
      <c r="J4" s="15">
        <v>400</v>
      </c>
      <c r="K4" s="15">
        <v>400</v>
      </c>
      <c r="L4" s="15">
        <v>400</v>
      </c>
      <c r="M4" s="15">
        <v>400</v>
      </c>
      <c r="N4" s="15">
        <v>400</v>
      </c>
      <c r="O4" s="15">
        <v>400</v>
      </c>
      <c r="P4" s="7">
        <f t="shared" ref="P4:P6" si="1">SUM(D4:O4)</f>
        <v>4800</v>
      </c>
    </row>
    <row r="5" spans="1:16" x14ac:dyDescent="0.35">
      <c r="C5" s="3" t="s">
        <v>63</v>
      </c>
      <c r="D5" s="1">
        <v>52.5</v>
      </c>
      <c r="E5" s="1">
        <v>52.5</v>
      </c>
      <c r="F5" s="1">
        <v>52.5</v>
      </c>
      <c r="G5" s="1">
        <v>52.5</v>
      </c>
      <c r="H5" s="1">
        <v>52.5</v>
      </c>
      <c r="I5" s="1">
        <v>52.5</v>
      </c>
      <c r="J5" s="1">
        <v>52.5</v>
      </c>
      <c r="K5" s="1">
        <v>52.5</v>
      </c>
      <c r="L5" s="1">
        <v>52.5</v>
      </c>
      <c r="M5" s="1">
        <v>52.5</v>
      </c>
      <c r="N5" s="1">
        <v>52.5</v>
      </c>
      <c r="O5" s="1">
        <v>52.5</v>
      </c>
      <c r="P5" s="7">
        <f t="shared" si="1"/>
        <v>630</v>
      </c>
    </row>
    <row r="6" spans="1:16" x14ac:dyDescent="0.35">
      <c r="C6" s="16" t="s">
        <v>64</v>
      </c>
      <c r="D6" s="1">
        <v>450</v>
      </c>
      <c r="E6" s="1">
        <v>450</v>
      </c>
      <c r="F6" s="1">
        <v>450</v>
      </c>
      <c r="G6" s="1">
        <v>450</v>
      </c>
      <c r="H6" s="1">
        <v>450</v>
      </c>
      <c r="I6" s="1">
        <v>450</v>
      </c>
      <c r="J6" s="1">
        <v>450</v>
      </c>
      <c r="K6" s="1">
        <v>450</v>
      </c>
      <c r="L6" s="1">
        <v>450</v>
      </c>
      <c r="M6" s="1">
        <v>450</v>
      </c>
      <c r="N6" s="1">
        <v>450</v>
      </c>
      <c r="O6" s="1">
        <v>450</v>
      </c>
      <c r="P6" s="7">
        <f t="shared" si="1"/>
        <v>5400</v>
      </c>
    </row>
    <row r="7" spans="1:16" x14ac:dyDescent="0.35">
      <c r="O7" s="9" t="s">
        <v>24</v>
      </c>
      <c r="P7" s="7">
        <f>SUM(P3:P6)</f>
        <v>334506</v>
      </c>
    </row>
    <row r="9" spans="1:16" x14ac:dyDescent="0.35">
      <c r="A9" s="10"/>
      <c r="B9" s="11"/>
      <c r="C9" s="10" t="s">
        <v>65</v>
      </c>
      <c r="D9" s="11">
        <f>P7-D10</f>
        <v>6906</v>
      </c>
      <c r="E9" s="11"/>
      <c r="F9" s="11"/>
    </row>
    <row r="10" spans="1:16" x14ac:dyDescent="0.35">
      <c r="A10" s="10"/>
      <c r="B10" s="11"/>
      <c r="C10" s="10" t="s">
        <v>26</v>
      </c>
      <c r="D10" s="11">
        <f>E10*F10*12</f>
        <v>327600</v>
      </c>
      <c r="E10" s="12">
        <v>210</v>
      </c>
      <c r="F10" s="11">
        <v>130</v>
      </c>
    </row>
    <row r="11" spans="1:16" x14ac:dyDescent="0.35">
      <c r="D11" s="3">
        <f>SUM(D9:D10)</f>
        <v>334506</v>
      </c>
    </row>
    <row r="13" spans="1:16" ht="18.5" x14ac:dyDescent="0.45">
      <c r="A13" s="5" t="s">
        <v>66</v>
      </c>
    </row>
    <row r="14" spans="1:16" x14ac:dyDescent="0.35">
      <c r="C14" s="3" t="s">
        <v>67</v>
      </c>
      <c r="D14" s="1">
        <f>102000/12</f>
        <v>8500</v>
      </c>
      <c r="E14" s="1">
        <f t="shared" ref="E14:O14" si="2">102000/12</f>
        <v>8500</v>
      </c>
      <c r="F14" s="1">
        <f t="shared" si="2"/>
        <v>8500</v>
      </c>
      <c r="G14" s="1">
        <f t="shared" si="2"/>
        <v>8500</v>
      </c>
      <c r="H14" s="1">
        <f t="shared" si="2"/>
        <v>8500</v>
      </c>
      <c r="I14" s="1">
        <f t="shared" si="2"/>
        <v>8500</v>
      </c>
      <c r="J14" s="1">
        <f t="shared" si="2"/>
        <v>8500</v>
      </c>
      <c r="K14" s="1">
        <f t="shared" si="2"/>
        <v>8500</v>
      </c>
      <c r="L14" s="1">
        <f t="shared" si="2"/>
        <v>8500</v>
      </c>
      <c r="M14" s="1">
        <f t="shared" si="2"/>
        <v>8500</v>
      </c>
      <c r="N14" s="1">
        <f t="shared" si="2"/>
        <v>8500</v>
      </c>
      <c r="O14" s="1">
        <f t="shared" si="2"/>
        <v>8500</v>
      </c>
      <c r="P14" s="7">
        <f t="shared" ref="P14:P22" si="3">SUM(D14:O14)</f>
        <v>102000</v>
      </c>
    </row>
    <row r="15" spans="1:16" x14ac:dyDescent="0.35">
      <c r="C15" s="16" t="s">
        <v>68</v>
      </c>
      <c r="D15" s="1">
        <f>4200/12</f>
        <v>350</v>
      </c>
      <c r="E15" s="1">
        <f t="shared" ref="E15:O15" si="4">4200/12</f>
        <v>350</v>
      </c>
      <c r="F15" s="1">
        <f t="shared" si="4"/>
        <v>350</v>
      </c>
      <c r="G15" s="1">
        <f t="shared" si="4"/>
        <v>350</v>
      </c>
      <c r="H15" s="1">
        <f t="shared" si="4"/>
        <v>350</v>
      </c>
      <c r="I15" s="1">
        <f t="shared" si="4"/>
        <v>350</v>
      </c>
      <c r="J15" s="1">
        <f t="shared" si="4"/>
        <v>350</v>
      </c>
      <c r="K15" s="1">
        <f t="shared" si="4"/>
        <v>350</v>
      </c>
      <c r="L15" s="1">
        <f t="shared" si="4"/>
        <v>350</v>
      </c>
      <c r="M15" s="1">
        <f t="shared" si="4"/>
        <v>350</v>
      </c>
      <c r="N15" s="1">
        <f t="shared" si="4"/>
        <v>350</v>
      </c>
      <c r="O15" s="1">
        <f t="shared" si="4"/>
        <v>350</v>
      </c>
      <c r="P15" s="14">
        <f t="shared" si="3"/>
        <v>4200</v>
      </c>
    </row>
    <row r="16" spans="1:16" x14ac:dyDescent="0.35">
      <c r="C16" s="3" t="s">
        <v>69</v>
      </c>
      <c r="D16" s="15">
        <v>125.5</v>
      </c>
      <c r="E16" s="15">
        <v>125.5</v>
      </c>
      <c r="F16" s="15">
        <v>125.5</v>
      </c>
      <c r="G16" s="15">
        <v>125.5</v>
      </c>
      <c r="H16" s="15">
        <v>125.5</v>
      </c>
      <c r="I16" s="15">
        <v>125.5</v>
      </c>
      <c r="J16" s="15">
        <v>125.5</v>
      </c>
      <c r="K16" s="15">
        <v>125.5</v>
      </c>
      <c r="L16" s="15">
        <v>125.5</v>
      </c>
      <c r="M16" s="15">
        <v>125.5</v>
      </c>
      <c r="N16" s="15">
        <v>125.5</v>
      </c>
      <c r="O16" s="15">
        <v>125.5</v>
      </c>
      <c r="P16" s="14">
        <f t="shared" si="3"/>
        <v>1506</v>
      </c>
    </row>
    <row r="17" spans="3:16" x14ac:dyDescent="0.35">
      <c r="C17" s="3" t="s">
        <v>70</v>
      </c>
      <c r="D17" s="8">
        <v>1200</v>
      </c>
      <c r="E17" s="15">
        <v>1200</v>
      </c>
      <c r="F17" s="15">
        <v>1200</v>
      </c>
      <c r="G17" s="15">
        <v>1200</v>
      </c>
      <c r="H17" s="15">
        <v>1200</v>
      </c>
      <c r="I17" s="15">
        <v>1200</v>
      </c>
      <c r="J17" s="15">
        <v>1200</v>
      </c>
      <c r="K17" s="15">
        <v>1200</v>
      </c>
      <c r="L17" s="15">
        <v>1200</v>
      </c>
      <c r="M17" s="15">
        <v>1200</v>
      </c>
      <c r="N17" s="15">
        <v>1200</v>
      </c>
      <c r="O17" s="15">
        <v>1200</v>
      </c>
      <c r="P17" s="14">
        <f t="shared" si="3"/>
        <v>14400</v>
      </c>
    </row>
    <row r="18" spans="3:16" x14ac:dyDescent="0.35">
      <c r="C18" s="3" t="s">
        <v>71</v>
      </c>
      <c r="D18" s="8">
        <v>900</v>
      </c>
      <c r="E18" s="15">
        <v>900</v>
      </c>
      <c r="F18" s="15">
        <v>900</v>
      </c>
      <c r="G18" s="15">
        <v>900</v>
      </c>
      <c r="H18" s="15">
        <v>900</v>
      </c>
      <c r="I18" s="15">
        <v>900</v>
      </c>
      <c r="J18" s="15">
        <v>900</v>
      </c>
      <c r="K18" s="15">
        <v>900</v>
      </c>
      <c r="L18" s="15">
        <v>900</v>
      </c>
      <c r="M18" s="15">
        <v>900</v>
      </c>
      <c r="N18" s="15">
        <v>900</v>
      </c>
      <c r="O18" s="15">
        <v>900</v>
      </c>
      <c r="P18" s="14">
        <f t="shared" si="3"/>
        <v>10800</v>
      </c>
    </row>
    <row r="19" spans="3:16" x14ac:dyDescent="0.35">
      <c r="C19" s="3" t="s">
        <v>72</v>
      </c>
      <c r="D19" s="15">
        <v>900</v>
      </c>
      <c r="E19" s="15">
        <v>900</v>
      </c>
      <c r="F19" s="15">
        <v>900</v>
      </c>
      <c r="G19" s="15">
        <v>900</v>
      </c>
      <c r="H19" s="15">
        <v>900</v>
      </c>
      <c r="I19" s="15">
        <v>900</v>
      </c>
      <c r="J19" s="15">
        <v>900</v>
      </c>
      <c r="K19" s="15">
        <v>900</v>
      </c>
      <c r="L19" s="15">
        <v>900</v>
      </c>
      <c r="M19" s="15">
        <v>900</v>
      </c>
      <c r="N19" s="15">
        <v>900</v>
      </c>
      <c r="O19" s="15">
        <v>900</v>
      </c>
      <c r="P19" s="14">
        <f t="shared" si="3"/>
        <v>10800</v>
      </c>
    </row>
    <row r="20" spans="3:16" x14ac:dyDescent="0.35">
      <c r="C20" s="3" t="s">
        <v>73</v>
      </c>
      <c r="D20" s="8">
        <f>1600*3</f>
        <v>4800</v>
      </c>
      <c r="E20" s="15">
        <f t="shared" ref="E20:O20" si="5">1600*3</f>
        <v>4800</v>
      </c>
      <c r="F20" s="15">
        <f t="shared" si="5"/>
        <v>4800</v>
      </c>
      <c r="G20" s="15">
        <f t="shared" si="5"/>
        <v>4800</v>
      </c>
      <c r="H20" s="15">
        <f t="shared" si="5"/>
        <v>4800</v>
      </c>
      <c r="I20" s="15">
        <f t="shared" si="5"/>
        <v>4800</v>
      </c>
      <c r="J20" s="15">
        <f t="shared" si="5"/>
        <v>4800</v>
      </c>
      <c r="K20" s="15">
        <f t="shared" si="5"/>
        <v>4800</v>
      </c>
      <c r="L20" s="15">
        <f t="shared" si="5"/>
        <v>4800</v>
      </c>
      <c r="M20" s="15">
        <f t="shared" si="5"/>
        <v>4800</v>
      </c>
      <c r="N20" s="15">
        <f t="shared" si="5"/>
        <v>4800</v>
      </c>
      <c r="O20" s="15">
        <f t="shared" si="5"/>
        <v>4800</v>
      </c>
      <c r="P20" s="14">
        <f t="shared" si="3"/>
        <v>57600</v>
      </c>
    </row>
    <row r="21" spans="3:16" x14ac:dyDescent="0.35">
      <c r="C21" s="3" t="s">
        <v>74</v>
      </c>
      <c r="D21" s="1">
        <f>18600/12</f>
        <v>1550</v>
      </c>
      <c r="E21" s="1">
        <f t="shared" ref="E21:O21" si="6">18600/12</f>
        <v>1550</v>
      </c>
      <c r="F21" s="1">
        <f t="shared" si="6"/>
        <v>1550</v>
      </c>
      <c r="G21" s="1">
        <f t="shared" si="6"/>
        <v>1550</v>
      </c>
      <c r="H21" s="1">
        <f t="shared" si="6"/>
        <v>1550</v>
      </c>
      <c r="I21" s="1">
        <f t="shared" si="6"/>
        <v>1550</v>
      </c>
      <c r="J21" s="1">
        <f t="shared" si="6"/>
        <v>1550</v>
      </c>
      <c r="K21" s="1">
        <f t="shared" si="6"/>
        <v>1550</v>
      </c>
      <c r="L21" s="1">
        <f t="shared" si="6"/>
        <v>1550</v>
      </c>
      <c r="M21" s="1">
        <f t="shared" si="6"/>
        <v>1550</v>
      </c>
      <c r="N21" s="1">
        <f t="shared" si="6"/>
        <v>1550</v>
      </c>
      <c r="O21" s="1">
        <f t="shared" si="6"/>
        <v>1550</v>
      </c>
      <c r="P21" s="14">
        <f t="shared" si="3"/>
        <v>18600</v>
      </c>
    </row>
    <row r="22" spans="3:16" x14ac:dyDescent="0.35">
      <c r="C22" s="3" t="s">
        <v>75</v>
      </c>
      <c r="D22" s="1">
        <v>9550</v>
      </c>
      <c r="E22" s="1">
        <v>9550</v>
      </c>
      <c r="F22" s="1">
        <v>9550</v>
      </c>
      <c r="G22" s="1">
        <v>9550</v>
      </c>
      <c r="H22" s="1">
        <v>9550</v>
      </c>
      <c r="I22" s="1">
        <v>9550</v>
      </c>
      <c r="J22" s="1">
        <v>9550</v>
      </c>
      <c r="K22" s="1">
        <v>9550</v>
      </c>
      <c r="L22" s="1">
        <v>9550</v>
      </c>
      <c r="M22" s="1">
        <v>9550</v>
      </c>
      <c r="N22" s="1">
        <v>9550</v>
      </c>
      <c r="O22" s="1">
        <v>9550</v>
      </c>
      <c r="P22" s="14">
        <f t="shared" si="3"/>
        <v>114600</v>
      </c>
    </row>
    <row r="23" spans="3:16" x14ac:dyDescent="0.35">
      <c r="O23" s="9" t="s">
        <v>56</v>
      </c>
      <c r="P23" s="7">
        <f>SUM(P14:P22)</f>
        <v>334506</v>
      </c>
    </row>
    <row r="25" spans="3:16" x14ac:dyDescent="0.35">
      <c r="C25" s="10" t="s">
        <v>24</v>
      </c>
      <c r="D25" s="11">
        <f>D11</f>
        <v>334506</v>
      </c>
    </row>
    <row r="26" spans="3:16" x14ac:dyDescent="0.35">
      <c r="C26" s="3" t="s">
        <v>57</v>
      </c>
      <c r="D26" s="1">
        <f>P23</f>
        <v>334506</v>
      </c>
    </row>
    <row r="27" spans="3:16" x14ac:dyDescent="0.35">
      <c r="C27" s="3" t="s">
        <v>58</v>
      </c>
      <c r="D27" s="1">
        <f>D26-D25</f>
        <v>0</v>
      </c>
    </row>
  </sheetData>
  <pageMargins left="0.25" right="0.25" top="0.75" bottom="0.75" header="0.3" footer="0.3"/>
  <pageSetup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 Community</vt:lpstr>
      <vt:lpstr>BM Townhomes</vt:lpstr>
      <vt:lpstr>'BM Community'!Print_Area</vt:lpstr>
      <vt:lpstr>'BM Townhomes'!Print_Area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Tesmer</dc:creator>
  <cp:lastModifiedBy>Raw Bottom</cp:lastModifiedBy>
  <dcterms:created xsi:type="dcterms:W3CDTF">2022-09-25T21:24:33Z</dcterms:created>
  <dcterms:modified xsi:type="dcterms:W3CDTF">2022-09-26T01:44:09Z</dcterms:modified>
</cp:coreProperties>
</file>